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heckCompatibility="1" defaultThemeVersion="124226"/>
  <mc:AlternateContent xmlns:mc="http://schemas.openxmlformats.org/markup-compatibility/2006">
    <mc:Choice Requires="x15">
      <x15ac:absPath xmlns:x15ac="http://schemas.microsoft.com/office/spreadsheetml/2010/11/ac" url="D:\Others\Audit Monk\08 Beneish M Score\"/>
    </mc:Choice>
  </mc:AlternateContent>
  <bookViews>
    <workbookView xWindow="0" yWindow="0" windowWidth="20490" windowHeight="7530"/>
  </bookViews>
  <sheets>
    <sheet name="Read Me" sheetId="7" r:id="rId1"/>
    <sheet name="BS" sheetId="4" r:id="rId2"/>
    <sheet name="P&amp;L" sheetId="2" r:id="rId3"/>
    <sheet name="Cash Flow" sheetId="9" r:id="rId4"/>
    <sheet name="Ratios" sheetId="5" r:id="rId5"/>
    <sheet name="Beneish M Score" sheetId="8" r:id="rId6"/>
    <sheet name="ZETA MODEL" sheetId="6" state="hidden" r:id="rId7"/>
  </sheets>
  <calcPr calcId="152511"/>
</workbook>
</file>

<file path=xl/calcChain.xml><?xml version="1.0" encoding="utf-8"?>
<calcChain xmlns="http://schemas.openxmlformats.org/spreadsheetml/2006/main">
  <c r="A1" i="9" l="1"/>
  <c r="A1" i="8"/>
  <c r="B12" i="8"/>
  <c r="F12" i="8"/>
  <c r="E12" i="8"/>
  <c r="D12" i="8"/>
  <c r="C12" i="8"/>
  <c r="G11" i="9"/>
  <c r="F11" i="9"/>
  <c r="E11" i="9"/>
  <c r="D11" i="9"/>
  <c r="B11" i="9"/>
  <c r="C11" i="9"/>
  <c r="F11" i="8" l="1"/>
  <c r="E11" i="8"/>
  <c r="D11" i="8"/>
  <c r="C11" i="8"/>
  <c r="B11" i="8"/>
  <c r="F10" i="8"/>
  <c r="E10" i="8"/>
  <c r="D10" i="8"/>
  <c r="C10" i="8"/>
  <c r="B10" i="8"/>
  <c r="C9" i="8"/>
  <c r="B9" i="8"/>
  <c r="C8" i="8"/>
  <c r="B8" i="8"/>
  <c r="C7" i="8"/>
  <c r="B7" i="8"/>
  <c r="C6" i="8"/>
  <c r="B6" i="8"/>
  <c r="C5" i="8"/>
  <c r="B5" i="8"/>
  <c r="F9" i="8"/>
  <c r="E9" i="8"/>
  <c r="D9" i="8"/>
  <c r="F8" i="8"/>
  <c r="E8" i="8"/>
  <c r="D8" i="8"/>
  <c r="F7" i="8"/>
  <c r="E7" i="8"/>
  <c r="D7" i="8"/>
  <c r="F6" i="8"/>
  <c r="E6" i="8"/>
  <c r="D6" i="8"/>
  <c r="F5" i="8"/>
  <c r="E5" i="8"/>
  <c r="D5" i="8"/>
  <c r="F16" i="8" l="1"/>
  <c r="F17" i="8"/>
  <c r="B17" i="8"/>
  <c r="B16" i="8"/>
  <c r="D16" i="8"/>
  <c r="D17" i="8"/>
  <c r="C17" i="8"/>
  <c r="C16" i="8"/>
  <c r="E17" i="8"/>
  <c r="E16" i="8"/>
  <c r="G10" i="6" l="1"/>
  <c r="F10" i="6"/>
  <c r="E10" i="6"/>
  <c r="D10" i="6"/>
  <c r="C10" i="6"/>
  <c r="D22" i="2"/>
  <c r="B22" i="2"/>
  <c r="B15" i="2"/>
  <c r="D15" i="2"/>
  <c r="B42" i="4"/>
  <c r="D42" i="4"/>
  <c r="B34" i="4"/>
  <c r="D34" i="4"/>
  <c r="B28" i="4"/>
  <c r="B20" i="4"/>
  <c r="D28" i="4"/>
  <c r="D20" i="4"/>
  <c r="B14" i="4"/>
  <c r="B13" i="4"/>
  <c r="D14" i="4"/>
  <c r="F22" i="2" l="1"/>
  <c r="H22" i="2"/>
  <c r="F15" i="2"/>
  <c r="H15" i="2"/>
  <c r="F42" i="4"/>
  <c r="H42" i="4"/>
  <c r="F34" i="4"/>
  <c r="H34" i="4"/>
  <c r="F28" i="4"/>
  <c r="H28" i="4"/>
  <c r="F20" i="4"/>
  <c r="F18" i="4"/>
  <c r="H20" i="4"/>
  <c r="F14" i="4"/>
  <c r="F13" i="4"/>
  <c r="H14" i="4"/>
  <c r="J22" i="2"/>
  <c r="L22" i="2"/>
  <c r="J15" i="2"/>
  <c r="L15" i="2"/>
  <c r="J42" i="4"/>
  <c r="L42" i="4"/>
  <c r="J34" i="4"/>
  <c r="L34" i="4"/>
  <c r="J28" i="4"/>
  <c r="L28" i="4"/>
  <c r="J20" i="4"/>
  <c r="L20" i="4"/>
  <c r="J14" i="4"/>
  <c r="L14" i="4"/>
  <c r="L3" i="2" l="1"/>
  <c r="J3" i="2"/>
  <c r="H3" i="2"/>
  <c r="F3" i="2"/>
  <c r="D3" i="2"/>
  <c r="B3" i="2"/>
  <c r="A1" i="6" l="1"/>
  <c r="A1" i="5"/>
  <c r="A1" i="2"/>
  <c r="L10" i="4" l="1"/>
  <c r="J10" i="4"/>
  <c r="H10" i="4"/>
  <c r="F10" i="4"/>
  <c r="D10" i="4"/>
  <c r="B10" i="4"/>
  <c r="H12" i="5" l="1"/>
  <c r="G12" i="5"/>
  <c r="F12" i="5"/>
  <c r="E12" i="5"/>
  <c r="D12" i="5"/>
  <c r="H16" i="5"/>
  <c r="H17" i="5" s="1"/>
  <c r="G16" i="5"/>
  <c r="G17" i="5" s="1"/>
  <c r="F16" i="5"/>
  <c r="F17" i="5" s="1"/>
  <c r="E16" i="5"/>
  <c r="E17" i="5" s="1"/>
  <c r="D16" i="5"/>
  <c r="D17" i="5" s="1"/>
  <c r="H18" i="5"/>
  <c r="H19" i="5" s="1"/>
  <c r="F18" i="5"/>
  <c r="F19" i="5" s="1"/>
  <c r="E18" i="5"/>
  <c r="E19" i="5" s="1"/>
  <c r="D18" i="5"/>
  <c r="D19" i="5" s="1"/>
  <c r="B43" i="4" l="1"/>
  <c r="D43" i="4"/>
  <c r="F43" i="4"/>
  <c r="H43" i="4"/>
  <c r="B35" i="4"/>
  <c r="D35" i="4"/>
  <c r="F35" i="4"/>
  <c r="H35" i="4"/>
  <c r="B30" i="4"/>
  <c r="D30" i="4"/>
  <c r="D13" i="5" s="1"/>
  <c r="F30" i="4"/>
  <c r="E13" i="5" s="1"/>
  <c r="H30" i="4"/>
  <c r="F13" i="5" s="1"/>
  <c r="B21" i="4"/>
  <c r="D21" i="4"/>
  <c r="F21" i="4"/>
  <c r="H21" i="4"/>
  <c r="B15" i="4"/>
  <c r="D15" i="4"/>
  <c r="F15" i="4"/>
  <c r="H15" i="4"/>
  <c r="B23" i="2"/>
  <c r="D23" i="2"/>
  <c r="F23" i="2"/>
  <c r="H23" i="2"/>
  <c r="B16" i="2"/>
  <c r="D16" i="2"/>
  <c r="F16" i="2"/>
  <c r="H16" i="2"/>
  <c r="B8" i="2"/>
  <c r="D8" i="2"/>
  <c r="F8" i="2"/>
  <c r="H8" i="2"/>
  <c r="G18" i="5"/>
  <c r="G19" i="5" s="1"/>
  <c r="D23" i="4" l="1"/>
  <c r="C8" i="6" s="1"/>
  <c r="B23" i="4"/>
  <c r="C8" i="4" s="1"/>
  <c r="F18" i="2"/>
  <c r="H18" i="2"/>
  <c r="C7" i="2"/>
  <c r="B18" i="2"/>
  <c r="B25" i="2" s="1"/>
  <c r="H23" i="4"/>
  <c r="E8" i="6" s="1"/>
  <c r="F23" i="4"/>
  <c r="D8" i="6" s="1"/>
  <c r="F45" i="4"/>
  <c r="D5" i="6" s="1"/>
  <c r="B45" i="4"/>
  <c r="F8" i="5"/>
  <c r="D18" i="2"/>
  <c r="E18" i="2" s="1"/>
  <c r="D7" i="5"/>
  <c r="D6" i="5"/>
  <c r="D8" i="5"/>
  <c r="D45" i="4"/>
  <c r="F6" i="5"/>
  <c r="F7" i="5"/>
  <c r="H45" i="4"/>
  <c r="F9" i="5" s="1"/>
  <c r="E6" i="5"/>
  <c r="E7" i="5"/>
  <c r="E8" i="5"/>
  <c r="C22" i="2"/>
  <c r="E21" i="2"/>
  <c r="E9" i="4" l="1"/>
  <c r="E8" i="4"/>
  <c r="E9" i="5"/>
  <c r="B47" i="4"/>
  <c r="I8" i="4"/>
  <c r="G9" i="4"/>
  <c r="C9" i="4"/>
  <c r="C18" i="2"/>
  <c r="I9" i="4"/>
  <c r="G8" i="4"/>
  <c r="F20" i="5"/>
  <c r="E11" i="6"/>
  <c r="E7" i="6"/>
  <c r="E6" i="6"/>
  <c r="D11" i="6"/>
  <c r="D7" i="6"/>
  <c r="D6" i="6"/>
  <c r="E5" i="6"/>
  <c r="C11" i="6"/>
  <c r="C6" i="6"/>
  <c r="C7" i="6"/>
  <c r="C5" i="6"/>
  <c r="D9" i="5"/>
  <c r="D25" i="2"/>
  <c r="F25" i="2"/>
  <c r="D20" i="5"/>
  <c r="H25" i="2"/>
  <c r="E20" i="5"/>
  <c r="E42" i="4"/>
  <c r="C6" i="2"/>
  <c r="C13" i="2"/>
  <c r="C12" i="2"/>
  <c r="C16" i="2"/>
  <c r="C23" i="2"/>
  <c r="C8" i="2"/>
  <c r="C14" i="2"/>
  <c r="C21" i="2"/>
  <c r="C11" i="2"/>
  <c r="C15" i="2"/>
  <c r="E12" i="2"/>
  <c r="E23" i="2"/>
  <c r="E15" i="2"/>
  <c r="E16" i="2"/>
  <c r="E11" i="2"/>
  <c r="E22" i="2"/>
  <c r="E7" i="2"/>
  <c r="E13" i="2"/>
  <c r="E6" i="2"/>
  <c r="E8" i="2"/>
  <c r="E14" i="2"/>
  <c r="C29" i="4"/>
  <c r="G21" i="2"/>
  <c r="C15" i="6" l="1"/>
  <c r="D15" i="6"/>
  <c r="D14" i="6"/>
  <c r="E16" i="6"/>
  <c r="E15" i="6"/>
  <c r="D16" i="6"/>
  <c r="E14" i="6"/>
  <c r="C14" i="6"/>
  <c r="C16" i="6"/>
  <c r="E23" i="5"/>
  <c r="D23" i="5"/>
  <c r="F23" i="5"/>
  <c r="E43" i="4"/>
  <c r="E28" i="4"/>
  <c r="E33" i="4"/>
  <c r="E39" i="4"/>
  <c r="C40" i="4"/>
  <c r="C33" i="4"/>
  <c r="E34" i="4"/>
  <c r="E40" i="4"/>
  <c r="E45" i="4"/>
  <c r="E29" i="4"/>
  <c r="E35" i="4"/>
  <c r="E41" i="4"/>
  <c r="E30" i="4"/>
  <c r="E38" i="4"/>
  <c r="C25" i="2"/>
  <c r="C45" i="4"/>
  <c r="C41" i="4"/>
  <c r="C34" i="4"/>
  <c r="C30" i="4"/>
  <c r="C38" i="4"/>
  <c r="C42" i="4"/>
  <c r="C35" i="4"/>
  <c r="C39" i="4"/>
  <c r="C43" i="4"/>
  <c r="C28" i="4"/>
  <c r="G7" i="2"/>
  <c r="G13" i="2"/>
  <c r="G22" i="2"/>
  <c r="G8" i="2"/>
  <c r="G14" i="2"/>
  <c r="G23" i="2"/>
  <c r="G11" i="2"/>
  <c r="G15" i="2"/>
  <c r="G6" i="2"/>
  <c r="G12" i="2"/>
  <c r="G16" i="2"/>
  <c r="G10" i="4"/>
  <c r="J16" i="2"/>
  <c r="L16" i="2"/>
  <c r="L23" i="2"/>
  <c r="J23" i="2"/>
  <c r="L8" i="2"/>
  <c r="J8" i="2"/>
  <c r="J18" i="2" l="1"/>
  <c r="M12" i="2"/>
  <c r="G25" i="2"/>
  <c r="E25" i="2"/>
  <c r="G42" i="4"/>
  <c r="I23" i="2"/>
  <c r="G18" i="2"/>
  <c r="G28" i="4"/>
  <c r="G39" i="4"/>
  <c r="G33" i="4"/>
  <c r="G45" i="4"/>
  <c r="G35" i="4"/>
  <c r="G38" i="4"/>
  <c r="G40" i="4"/>
  <c r="G34" i="4"/>
  <c r="G43" i="4"/>
  <c r="G30" i="4"/>
  <c r="G29" i="4"/>
  <c r="G41" i="4"/>
  <c r="G23" i="4"/>
  <c r="F47" i="4"/>
  <c r="G20" i="4"/>
  <c r="G14" i="4"/>
  <c r="G18" i="4"/>
  <c r="G21" i="4"/>
  <c r="G13" i="4"/>
  <c r="G15" i="4"/>
  <c r="G19" i="4"/>
  <c r="M16" i="2"/>
  <c r="I7" i="2"/>
  <c r="I13" i="2"/>
  <c r="I8" i="2"/>
  <c r="I14" i="2"/>
  <c r="I21" i="2"/>
  <c r="I11" i="2"/>
  <c r="I15" i="2"/>
  <c r="I22" i="2"/>
  <c r="I6" i="2"/>
  <c r="I12" i="2"/>
  <c r="I16" i="2"/>
  <c r="K7" i="2"/>
  <c r="K13" i="2"/>
  <c r="K8" i="2"/>
  <c r="K14" i="2"/>
  <c r="K21" i="2"/>
  <c r="K11" i="2"/>
  <c r="K15" i="2"/>
  <c r="K22" i="2"/>
  <c r="K6" i="2"/>
  <c r="K12" i="2"/>
  <c r="K16" i="2"/>
  <c r="K23" i="2"/>
  <c r="L18" i="2"/>
  <c r="M14" i="2"/>
  <c r="M8" i="2"/>
  <c r="M21" i="2"/>
  <c r="M6" i="2"/>
  <c r="M11" i="2"/>
  <c r="M15" i="2"/>
  <c r="M22" i="2"/>
  <c r="M23" i="2"/>
  <c r="M7" i="2"/>
  <c r="M13" i="2"/>
  <c r="L43" i="4"/>
  <c r="L30" i="4"/>
  <c r="H13" i="5" s="1"/>
  <c r="L35" i="4"/>
  <c r="J35" i="4"/>
  <c r="J43" i="4"/>
  <c r="J30" i="4"/>
  <c r="G13" i="5" s="1"/>
  <c r="L21" i="4"/>
  <c r="L15" i="4"/>
  <c r="J21" i="4"/>
  <c r="J15" i="4"/>
  <c r="G8" i="5" l="1"/>
  <c r="J25" i="2"/>
  <c r="K25" i="2" s="1"/>
  <c r="H6" i="5"/>
  <c r="H7" i="5"/>
  <c r="G6" i="5"/>
  <c r="G7" i="5"/>
  <c r="H8" i="5"/>
  <c r="L25" i="2"/>
  <c r="M25" i="2" s="1"/>
  <c r="I25" i="2"/>
  <c r="I18" i="2"/>
  <c r="L45" i="4"/>
  <c r="G5" i="6" s="1"/>
  <c r="K18" i="2"/>
  <c r="M18" i="2"/>
  <c r="G6" i="6" l="1"/>
  <c r="G11" i="6"/>
  <c r="G7" i="6"/>
  <c r="H9" i="5"/>
  <c r="G23" i="5"/>
  <c r="H23" i="5"/>
  <c r="I18" i="4" l="1"/>
  <c r="I10" i="4"/>
  <c r="I15" i="4"/>
  <c r="I14" i="4"/>
  <c r="I13" i="4"/>
  <c r="I23" i="4"/>
  <c r="I19" i="4"/>
  <c r="J23" i="4"/>
  <c r="F8" i="6" s="1"/>
  <c r="K23" i="4" l="1"/>
  <c r="K8" i="4"/>
  <c r="K9" i="4"/>
  <c r="K19" i="4"/>
  <c r="K15" i="4"/>
  <c r="K20" i="4"/>
  <c r="K18" i="4"/>
  <c r="K21" i="4"/>
  <c r="K10" i="4"/>
  <c r="K14" i="4"/>
  <c r="K13" i="4"/>
  <c r="L23" i="4"/>
  <c r="G8" i="6" s="1"/>
  <c r="G16" i="6" l="1"/>
  <c r="G15" i="6"/>
  <c r="G14" i="6"/>
  <c r="M9" i="4"/>
  <c r="M8" i="4"/>
  <c r="M20" i="4"/>
  <c r="M15" i="4"/>
  <c r="L47" i="4"/>
  <c r="M19" i="4"/>
  <c r="M13" i="4"/>
  <c r="M10" i="4"/>
  <c r="M21" i="4"/>
  <c r="M14" i="4"/>
  <c r="M18" i="4"/>
  <c r="M23" i="4"/>
  <c r="I38" i="4" l="1"/>
  <c r="H47" i="4"/>
  <c r="I28" i="4"/>
  <c r="I42" i="4"/>
  <c r="I41" i="4"/>
  <c r="I29" i="4"/>
  <c r="I39" i="4"/>
  <c r="I43" i="4"/>
  <c r="I45" i="4"/>
  <c r="I20" i="4"/>
  <c r="I21" i="4"/>
  <c r="I33" i="4"/>
  <c r="I34" i="4"/>
  <c r="I35" i="4"/>
  <c r="I30" i="4"/>
  <c r="I40" i="4"/>
  <c r="J45" i="4"/>
  <c r="M41" i="4"/>
  <c r="F11" i="6" l="1"/>
  <c r="F6" i="6"/>
  <c r="F7" i="6"/>
  <c r="F5" i="6"/>
  <c r="G9" i="5"/>
  <c r="G20" i="5"/>
  <c r="H20" i="5"/>
  <c r="K42" i="4"/>
  <c r="K30" i="4"/>
  <c r="K34" i="4"/>
  <c r="K39" i="4"/>
  <c r="K29" i="4"/>
  <c r="K45" i="4"/>
  <c r="K43" i="4"/>
  <c r="K28" i="4"/>
  <c r="K35" i="4"/>
  <c r="K40" i="4"/>
  <c r="J47" i="4"/>
  <c r="K41" i="4"/>
  <c r="K33" i="4"/>
  <c r="K38" i="4"/>
  <c r="M45" i="4"/>
  <c r="M43" i="4"/>
  <c r="M38" i="4"/>
  <c r="M35" i="4"/>
  <c r="M42" i="4"/>
  <c r="M30" i="4"/>
  <c r="M33" i="4"/>
  <c r="M39" i="4"/>
  <c r="M34" i="4"/>
  <c r="M40" i="4"/>
  <c r="M29" i="4"/>
  <c r="M28" i="4"/>
  <c r="F15" i="6" l="1"/>
  <c r="F16" i="6"/>
  <c r="F14" i="6"/>
  <c r="E19" i="4"/>
  <c r="D47" i="4"/>
  <c r="E13" i="4"/>
  <c r="E15" i="4"/>
  <c r="E18" i="4"/>
  <c r="E23" i="4"/>
  <c r="E14" i="4"/>
  <c r="E20" i="4"/>
  <c r="E10" i="4"/>
  <c r="E21" i="4"/>
  <c r="C20" i="4" l="1"/>
  <c r="C13" i="4"/>
  <c r="C15" i="4"/>
  <c r="C10" i="4"/>
  <c r="C21" i="4"/>
  <c r="C18" i="4"/>
  <c r="C14" i="4"/>
  <c r="C19" i="4"/>
  <c r="C23" i="4"/>
</calcChain>
</file>

<file path=xl/sharedStrings.xml><?xml version="1.0" encoding="utf-8"?>
<sst xmlns="http://schemas.openxmlformats.org/spreadsheetml/2006/main" count="233" uniqueCount="192">
  <si>
    <t>ASSETS</t>
  </si>
  <si>
    <t>Other assets</t>
  </si>
  <si>
    <t xml:space="preserve"> Balance Sheet</t>
  </si>
  <si>
    <t>2015 - 16</t>
  </si>
  <si>
    <t>2014 - 2015</t>
  </si>
  <si>
    <t>2013 - 2014</t>
  </si>
  <si>
    <t>Tangible Assets including Cwip</t>
  </si>
  <si>
    <t>Intangible Assets including under development</t>
  </si>
  <si>
    <t>Current investments</t>
  </si>
  <si>
    <t>Long-term investments</t>
  </si>
  <si>
    <t>Shareholders funds</t>
  </si>
  <si>
    <t>Long-term borrowings</t>
  </si>
  <si>
    <t>Other long term liabilities and provisions</t>
  </si>
  <si>
    <t>Short-term borrowings</t>
  </si>
  <si>
    <t>Trade payables</t>
  </si>
  <si>
    <t>Other current liabilities and provisions</t>
  </si>
  <si>
    <t xml:space="preserve">EQUITY &amp; LIABILITIES </t>
  </si>
  <si>
    <t>Cash &amp; cash bank balance</t>
  </si>
  <si>
    <t>Profit &amp; Loss Statement</t>
  </si>
  <si>
    <t>Revenues</t>
  </si>
  <si>
    <t>Revenue from operations</t>
  </si>
  <si>
    <t>Other income</t>
  </si>
  <si>
    <t>Total Revenues [H]</t>
  </si>
  <si>
    <t>Expenses</t>
  </si>
  <si>
    <t>Cost of goods sold</t>
  </si>
  <si>
    <t>Employee benefit expenses</t>
  </si>
  <si>
    <t>Finance Cost</t>
  </si>
  <si>
    <t>Depreciation &amp; Amortization</t>
  </si>
  <si>
    <t>Other expenses</t>
  </si>
  <si>
    <t>Total Expenses [I]</t>
  </si>
  <si>
    <t>Profit before exceptional/extraordinary &amp; tax [J]</t>
  </si>
  <si>
    <t>Exceptional/extraordinary items &amp; tax</t>
  </si>
  <si>
    <t>Exceptional/extraordinary items</t>
  </si>
  <si>
    <t>Tax expense</t>
  </si>
  <si>
    <t>Profit after tax [L]</t>
  </si>
  <si>
    <t>% of total assets/liabilities</t>
  </si>
  <si>
    <t>% of sales</t>
  </si>
  <si>
    <t>Total Exceptional/extraordinary items &amp; tax [K]</t>
  </si>
  <si>
    <t>Ratio Analysis</t>
  </si>
  <si>
    <t>Current Ratio</t>
  </si>
  <si>
    <t>Current Assets / Current Liabilities</t>
  </si>
  <si>
    <t>Quick Ratio</t>
  </si>
  <si>
    <t>Cash+Securities+Receivables / Current Liabilities</t>
  </si>
  <si>
    <t>Other current assets</t>
  </si>
  <si>
    <t>Net Sales on account / Average net debtors</t>
  </si>
  <si>
    <t>365 / Debtor Turnover</t>
  </si>
  <si>
    <t>Inventory Turnover</t>
  </si>
  <si>
    <t>Cost of goods sold / Average Inventory</t>
  </si>
  <si>
    <t>Average Number of Days Inventory is in Stock</t>
  </si>
  <si>
    <t>365 / Inventory Turnover</t>
  </si>
  <si>
    <t>Debt to Equity Ratio</t>
  </si>
  <si>
    <t>Profit Margin</t>
  </si>
  <si>
    <t>Net Profit / Net Sales</t>
  </si>
  <si>
    <t>Asset Turnover</t>
  </si>
  <si>
    <t>Net Sales / Average Total Assets</t>
  </si>
  <si>
    <t>2012 - 2013</t>
  </si>
  <si>
    <t xml:space="preserve">Inventories </t>
  </si>
  <si>
    <t xml:space="preserve">Trade receivables </t>
  </si>
  <si>
    <t>2011 - 2012</t>
  </si>
  <si>
    <t>Cash Ratio</t>
  </si>
  <si>
    <t>Total Long-term borrowings / Total Equity</t>
  </si>
  <si>
    <t>Total Long-term borrowings / Total Assets</t>
  </si>
  <si>
    <t>LIQUIDITY RATIOS</t>
  </si>
  <si>
    <t>SOLVENCY RATIOS</t>
  </si>
  <si>
    <t>ACTIVITY RATIOS</t>
  </si>
  <si>
    <t>PROFITABILITY RATIOS</t>
  </si>
  <si>
    <t>Debt to Fixed Assets Ratio</t>
  </si>
  <si>
    <t>Total ASSETS  [H]</t>
  </si>
  <si>
    <t>Total  LIABILITIES [D]</t>
  </si>
  <si>
    <t>Total Non-Current Liabilities  [B]</t>
  </si>
  <si>
    <t>Non-Current Liabilities</t>
  </si>
  <si>
    <t>Current Liabilities</t>
  </si>
  <si>
    <t>Total Current Liabilities  [C]</t>
  </si>
  <si>
    <t>Fixed Assets</t>
  </si>
  <si>
    <t>Total Fixed Assets [E]</t>
  </si>
  <si>
    <t>Other Assets</t>
  </si>
  <si>
    <t>Total Other Assets [G]</t>
  </si>
  <si>
    <t>Current Assets</t>
  </si>
  <si>
    <t>Total Current Assets  [F]</t>
  </si>
  <si>
    <t>Total Owners' Equity  [A]</t>
  </si>
  <si>
    <t>Formula</t>
  </si>
  <si>
    <t>Working Capital to Total Assets</t>
  </si>
  <si>
    <t>Working Capital / Total Assets</t>
  </si>
  <si>
    <t>The ratio of working capital to total assets has been found to have a correlation to financial statements fraud. Since actual liqiud assets are rarely produced as financial statement fraud progresses, the fraud often sits in the other assets. As such the ratio of working capital to total assets declines.</t>
  </si>
  <si>
    <t>Share Capital</t>
  </si>
  <si>
    <t>Reserves &amp; Surplus (Retained Earnings)</t>
  </si>
  <si>
    <t>Retained Earnings / Total Assets</t>
  </si>
  <si>
    <t>Z SCORE</t>
  </si>
  <si>
    <t>EBIT / Total Assets</t>
  </si>
  <si>
    <t>Market Capitalization / Total Liabilities</t>
  </si>
  <si>
    <t>Sales / Total Assests</t>
  </si>
  <si>
    <t>0.012*A+0.014*B+0.033*C+0.006*D+0.999*E</t>
  </si>
  <si>
    <t>0.717*A+0.847*B+3.107*C+0.420*D+0.998*E</t>
  </si>
  <si>
    <t>6.56*A+3.26*B+6.72*C+1.05*D</t>
  </si>
  <si>
    <t>Z &gt; 2.99</t>
  </si>
  <si>
    <t>Safe Zone</t>
  </si>
  <si>
    <t>Gray Zone</t>
  </si>
  <si>
    <t>Distress Zone</t>
  </si>
  <si>
    <t>1.81 &lt; Z &lt; 2.99</t>
  </si>
  <si>
    <t>Z &lt; 1.81</t>
  </si>
  <si>
    <t>Z &lt; 1.23</t>
  </si>
  <si>
    <t>Z &gt; 2.6</t>
  </si>
  <si>
    <t>1.1 &lt; Z &lt; 2.6</t>
  </si>
  <si>
    <t>Z &lt; 1.1</t>
  </si>
  <si>
    <t>Interpretation of Z Score</t>
  </si>
  <si>
    <t>Z &gt; 2.90</t>
  </si>
  <si>
    <t>1.23 &lt; Z &lt; 2.90</t>
  </si>
  <si>
    <t>Z</t>
  </si>
  <si>
    <t>ALTMAN Z SCORE MODEL</t>
  </si>
  <si>
    <t>2010-11</t>
  </si>
  <si>
    <t>2011-12</t>
  </si>
  <si>
    <t>2012-13</t>
  </si>
  <si>
    <t>2013-14</t>
  </si>
  <si>
    <t>2014-15</t>
  </si>
  <si>
    <t>2015-16</t>
  </si>
  <si>
    <t>Amount</t>
  </si>
  <si>
    <t>Ratio</t>
  </si>
  <si>
    <t>Sr. No.</t>
  </si>
  <si>
    <t>The current ratio—current assets to current liabilities— is probably the most commonly used ratio in financial statement analysis. This comparison measures a company’s ability to meet present obligations from its liquid assets. The number of times that current assets exceed current liabilities has long been a quick measure of financial strength.
In detecting fraud, this ratio can be a prime indicator that the accounts involved have been manipulated. Embezzlement will cause the ratio to decrease, and liability concealment will cause a more favourable ratio. For instance, a cheque-tampering scheme will usually result in a decrease in cash, a current asset, which will in turn decrease the ratio.</t>
  </si>
  <si>
    <t>Accounts receivable turnover is defined as net sales on account divided by average net receivables. It measures the number of times accounts receivable is turned over during the accounting period. In other words, it measures the time between on-account sales and collection of funds. This ratio is one that uses both statement of profit or loss and other comprehensive income and statement of financial position accounts in its analysis. If the fraud includes fictitious sales, this bogus income will never be collected. As a result, the turnover of receivables will decrease.</t>
  </si>
  <si>
    <t>Account/Debtor Collection Period</t>
  </si>
  <si>
    <t>Account/Debtor Turnover</t>
  </si>
  <si>
    <t>Accounts receivable aging is measured by the collection ratio. It divides 365 days by the receivable turnover ratio to arrive at the average number of days to collect receivables. In general, the lower the collection ratio, the faster receivables are collected. A fraud examiner might use this ratio as a first step in detecting fictitious receivables or larceny and skimming schemes. Normally, this ratio will stay fairly consistent from year to year, but changes in billing policies or collection efforts could cause a fluctuation.</t>
  </si>
  <si>
    <t>The relationship between a company’s cost of goods sold and average inventory is shown through the inventory turnover ratio. This ratio measures the number of times inventory is sold during the period. This ratio is a good determinant of purchasing, production, and sales efficiency. In general, a higher inventory turnover ratio is considered more favourable. For example, if cost of goods sold has increased due to theft of inventory (ending inventory has declined, but not through sales), then this ratio will be abnormally high.</t>
  </si>
  <si>
    <t>The average number of days inventory is in stock ratio is a restatement of the inventory turnover ratio expressed in days. This rate is important for several reasons. An increase in the number of days that inventory stays in stock causes additional expenses, including storage costs, risk of inventory obsolescence, and market price reductions, as well as interest and other expenses incurred due to tying up funds in inventory stock. Inconsistency or significant variance in this ratio is a red flag for fraud investigators. Fraud examiners might use this ratio to examine inventory accounts for possible larceny schemes. Purchasing and receiving inventory schemes can affect the ratio. Understating the cost of goods sold will result in an increase in the ratio as well. Significant changes in the inventory turnover ratio are good indicators of possible fraudulent inventory activity.</t>
  </si>
  <si>
    <t>The debt to equity ratio is computed by dividing total liabilities by total equity. This ratio is one that is heavily considered by lending institutions. It provides a clear picture of the relative risk assumed by the creditors and owners. The higher the ratio, the more difficult it will be for the owners to raise capital by increasing long-term debt. Debt to equity requirements are often included as borrowing covenants in corporate lending agreements.</t>
  </si>
  <si>
    <t>The profit margin ratio is defined as net income divided by net sales. This ratio is often referred to as the efficiency ratio in that it reveals profits earned per dollar of sales. This percentage of net income to sales relates not only the effects of gross margin changes, but also changes to sales and administrative expenses. As fraud is committed, net income will be artificially overstated, and the profit margin ratio will be abnormally high. False expenses and fraudulent disbursements will cause an increase in expenses and a decrease in the profit margin ratio. Over time, this ratio should be fairly consistent.</t>
  </si>
  <si>
    <t>The asset turnover ratio is used to determine the efficiency with which assets are used during the period. The asset turnover ratio is typically calculated by dividing net sales by average total assets (net sales / average total assets). However, average operating assets can also be used as the denominator (net sales / average operating assets).
The asset turnover ratio is one of the more reliable indicators of financial statement fraud.A sudden or continuing decrease in this ratio is often associated with improper capitalisation of expenses, which increases the denominator without a corresponding increase in the numerator.</t>
  </si>
  <si>
    <t>Description</t>
  </si>
  <si>
    <t>Cash &amp; bank balance +Securities / Current Liabilities</t>
  </si>
  <si>
    <t>The cash ratio compares a company's most liquid assets to its current liabilities. The ratio is used to determine whether a business can meet its short-term obligations. It is the most conservative of all the liquidity measurements.</t>
  </si>
  <si>
    <t>The quick ratio, often referred to as the acid test ratio, compares the liquid assets to current liabilities. This calculation divides the total of cash, securities, and receivables by current liabilities to yield a measure of a company’s ability to meet sudden cash requirements. The quick ratio is a conservative measurement of liquidity that is often used in turbulent economic times to provide an analyst with a worstcase scenario of a company’s working capital situation.</t>
  </si>
  <si>
    <t xml:space="preserve">The debt to assets ratio indicates the proportion of a company's assets that are being financed with debt, rather than equity. The ratio is used to determine the financial risk of a business. A ratio greater than 1 shows that a considerable proportion of assets are being funded with debt, while a low ratio indicates that the bulk of asset funding is coming from equity. </t>
  </si>
  <si>
    <r>
      <t xml:space="preserve">Working Capital to Total Assets </t>
    </r>
    <r>
      <rPr>
        <b/>
        <sz val="11"/>
        <rFont val="Calibri"/>
        <family val="2"/>
        <scheme val="minor"/>
      </rPr>
      <t>[A]</t>
    </r>
  </si>
  <si>
    <r>
      <t xml:space="preserve">Retained Earnings to Total Assets </t>
    </r>
    <r>
      <rPr>
        <b/>
        <sz val="11"/>
        <rFont val="Calibri"/>
        <family val="2"/>
        <scheme val="minor"/>
      </rPr>
      <t>[B]</t>
    </r>
  </si>
  <si>
    <r>
      <t xml:space="preserve">EBIT to Total Assets </t>
    </r>
    <r>
      <rPr>
        <b/>
        <sz val="11"/>
        <rFont val="Calibri"/>
        <family val="2"/>
        <scheme val="minor"/>
      </rPr>
      <t>[C]</t>
    </r>
  </si>
  <si>
    <r>
      <t xml:space="preserve">Market Value of Equity to Total Liabilities </t>
    </r>
    <r>
      <rPr>
        <b/>
        <sz val="11"/>
        <rFont val="Calibri"/>
        <family val="2"/>
        <scheme val="minor"/>
      </rPr>
      <t>[D]</t>
    </r>
  </si>
  <si>
    <r>
      <t xml:space="preserve">Sales to Total Assets </t>
    </r>
    <r>
      <rPr>
        <b/>
        <sz val="11"/>
        <rFont val="Calibri"/>
        <family val="2"/>
        <scheme val="minor"/>
      </rPr>
      <t>[E]</t>
    </r>
  </si>
  <si>
    <r>
      <t xml:space="preserve">Privately held Manufacturing Company </t>
    </r>
    <r>
      <rPr>
        <b/>
        <sz val="11"/>
        <rFont val="Calibri"/>
        <family val="2"/>
        <scheme val="minor"/>
      </rPr>
      <t>[Z</t>
    </r>
    <r>
      <rPr>
        <b/>
        <vertAlign val="subscript"/>
        <sz val="11"/>
        <rFont val="Calibri"/>
        <family val="2"/>
        <scheme val="minor"/>
      </rPr>
      <t>1</t>
    </r>
    <r>
      <rPr>
        <b/>
        <sz val="11"/>
        <rFont val="Calibri"/>
        <family val="2"/>
        <scheme val="minor"/>
      </rPr>
      <t>]</t>
    </r>
  </si>
  <si>
    <r>
      <t xml:space="preserve">Non Manufacturing Company </t>
    </r>
    <r>
      <rPr>
        <b/>
        <sz val="11"/>
        <rFont val="Calibri"/>
        <family val="2"/>
        <scheme val="minor"/>
      </rPr>
      <t>[Z</t>
    </r>
    <r>
      <rPr>
        <b/>
        <vertAlign val="subscript"/>
        <sz val="11"/>
        <rFont val="Calibri"/>
        <family val="2"/>
        <scheme val="minor"/>
      </rPr>
      <t>2</t>
    </r>
    <r>
      <rPr>
        <b/>
        <sz val="11"/>
        <rFont val="Calibri"/>
        <family val="2"/>
        <scheme val="minor"/>
      </rPr>
      <t>]</t>
    </r>
  </si>
  <si>
    <r>
      <t xml:space="preserve">Publicly traded Manufacturing Company </t>
    </r>
    <r>
      <rPr>
        <b/>
        <sz val="11"/>
        <rFont val="Calibri"/>
        <family val="2"/>
        <scheme val="minor"/>
      </rPr>
      <t>[Z]</t>
    </r>
  </si>
  <si>
    <r>
      <t>Z</t>
    </r>
    <r>
      <rPr>
        <b/>
        <vertAlign val="subscript"/>
        <sz val="12"/>
        <rFont val="Calibri"/>
        <family val="2"/>
        <scheme val="minor"/>
      </rPr>
      <t>1</t>
    </r>
  </si>
  <si>
    <r>
      <t>Z</t>
    </r>
    <r>
      <rPr>
        <b/>
        <vertAlign val="subscript"/>
        <sz val="12"/>
        <rFont val="Calibri"/>
        <family val="2"/>
        <scheme val="minor"/>
      </rPr>
      <t>2</t>
    </r>
  </si>
  <si>
    <t>Particulars</t>
  </si>
  <si>
    <t>Enter all the data in light brown cells</t>
  </si>
  <si>
    <t>To edit the sheets, first unprotect the sheet from the review tab</t>
  </si>
  <si>
    <r>
      <t xml:space="preserve"> - Market Price/Book Value per Share </t>
    </r>
    <r>
      <rPr>
        <b/>
        <sz val="10"/>
        <color theme="1"/>
        <rFont val="Calibri"/>
        <family val="2"/>
        <scheme val="minor"/>
      </rPr>
      <t>(to be filled)</t>
    </r>
  </si>
  <si>
    <r>
      <t xml:space="preserve"> - No.of Shares outstanding </t>
    </r>
    <r>
      <rPr>
        <b/>
        <sz val="10"/>
        <color theme="1"/>
        <rFont val="Calibri"/>
        <family val="2"/>
        <scheme val="minor"/>
      </rPr>
      <t>(to be filled)</t>
    </r>
  </si>
  <si>
    <t>XYZ Financial Services Limited</t>
  </si>
  <si>
    <t xml:space="preserve">DSRI </t>
  </si>
  <si>
    <t xml:space="preserve">GMI </t>
  </si>
  <si>
    <t xml:space="preserve">AQI </t>
  </si>
  <si>
    <t xml:space="preserve">SGI </t>
  </si>
  <si>
    <t xml:space="preserve">DEPI </t>
  </si>
  <si>
    <t xml:space="preserve">SGAI </t>
  </si>
  <si>
    <t xml:space="preserve">LVGI </t>
  </si>
  <si>
    <t xml:space="preserve">TATA </t>
  </si>
  <si>
    <t>Sales, General and Administrative expenses Index</t>
  </si>
  <si>
    <t>Days’ Sales in Receivables Index</t>
  </si>
  <si>
    <t>Gross Margin Index</t>
  </si>
  <si>
    <t>Asset Quality Index</t>
  </si>
  <si>
    <t>Sales Growth Index</t>
  </si>
  <si>
    <t>Depreciation Index</t>
  </si>
  <si>
    <t>Leverage Index</t>
  </si>
  <si>
    <t>Total Accruals to Total Assets</t>
  </si>
  <si>
    <t>Net Cash flow from operations</t>
  </si>
  <si>
    <t>Net Cash flow from / (used in) investing</t>
  </si>
  <si>
    <t>Net Cash flow from / (used in) financing</t>
  </si>
  <si>
    <t>Capital expenditure</t>
  </si>
  <si>
    <t>Free Cash Flow</t>
  </si>
  <si>
    <t>2010 -11</t>
  </si>
  <si>
    <t>2014 - 15</t>
  </si>
  <si>
    <t>2013 - 14</t>
  </si>
  <si>
    <t>2012 - 13</t>
  </si>
  <si>
    <t>2011 - 12</t>
  </si>
  <si>
    <t>M - Score</t>
  </si>
  <si>
    <t>8 Factor Model</t>
  </si>
  <si>
    <t>5 Factor Model</t>
  </si>
  <si>
    <t>-4.84 + 0.920*DSRI + 0.528*GMI + 0.404*AQI + 0.892*SGI + 0.115*DEPI – 0.172*SGAI + 4.679*TATA – 0.327*LVGI</t>
  </si>
  <si>
    <t>-6.065 + 0.823*DSRI + 0.906*GMI + 0.593*AQI + 0.717*SGI + 0.107*DEP</t>
  </si>
  <si>
    <t>Beneish M Score</t>
  </si>
  <si>
    <t>Cash Flow</t>
  </si>
  <si>
    <r>
      <rPr>
        <sz val="10"/>
        <color rgb="FFFF0000"/>
        <rFont val="Calibri"/>
        <family val="2"/>
        <scheme val="minor"/>
      </rPr>
      <t>(CY Receivables / CY Sales)</t>
    </r>
    <r>
      <rPr>
        <sz val="10"/>
        <color theme="1"/>
        <rFont val="Calibri"/>
        <family val="2"/>
        <scheme val="minor"/>
      </rPr>
      <t xml:space="preserve"> / (PY Receivables / PY Sales)</t>
    </r>
  </si>
  <si>
    <r>
      <rPr>
        <sz val="10"/>
        <color rgb="FFFF0000"/>
        <rFont val="Calibri"/>
        <family val="2"/>
        <scheme val="minor"/>
      </rPr>
      <t>[(PY Sales – PY COGS) / PY Sales]</t>
    </r>
    <r>
      <rPr>
        <sz val="10"/>
        <color theme="1"/>
        <rFont val="Calibri"/>
        <family val="2"/>
        <scheme val="minor"/>
      </rPr>
      <t xml:space="preserve"> / [(CY Sales – CY COGS) / CY Sales]</t>
    </r>
  </si>
  <si>
    <r>
      <rPr>
        <sz val="10"/>
        <color rgb="FFFF0000"/>
        <rFont val="Calibri"/>
        <family val="2"/>
        <scheme val="minor"/>
      </rPr>
      <t>[(CY Total Assets - CY Current Assets - CY PP&amp;E) / CY Total Asset]</t>
    </r>
    <r>
      <rPr>
        <sz val="10"/>
        <color theme="1"/>
        <rFont val="Calibri"/>
        <family val="2"/>
        <scheme val="minor"/>
      </rPr>
      <t xml:space="preserve"> / [(PY Total Assets - PY Current Assets - PY PP&amp;E) /PY Total Asset]</t>
    </r>
  </si>
  <si>
    <r>
      <rPr>
        <sz val="10"/>
        <color rgb="FFFF0000"/>
        <rFont val="Calibri"/>
        <family val="2"/>
        <scheme val="minor"/>
      </rPr>
      <t>CY Sales</t>
    </r>
    <r>
      <rPr>
        <sz val="10"/>
        <color theme="1"/>
        <rFont val="Calibri"/>
        <family val="2"/>
        <scheme val="minor"/>
      </rPr>
      <t xml:space="preserve"> / PY Sales</t>
    </r>
  </si>
  <si>
    <r>
      <rPr>
        <sz val="10"/>
        <color rgb="FFFF0000"/>
        <rFont val="Calibri"/>
        <family val="2"/>
        <scheme val="minor"/>
      </rPr>
      <t>[PY Depreciation / (PY Depreciation + PY PP&amp;E)]</t>
    </r>
    <r>
      <rPr>
        <sz val="10"/>
        <color theme="1"/>
        <rFont val="Calibri"/>
        <family val="2"/>
        <scheme val="minor"/>
      </rPr>
      <t xml:space="preserve"> / [CY Depreciation / (CY Depreciation + CY PP&amp;E)]</t>
    </r>
  </si>
  <si>
    <r>
      <rPr>
        <sz val="10"/>
        <color rgb="FFFF0000"/>
        <rFont val="Calibri"/>
        <family val="2"/>
        <scheme val="minor"/>
      </rPr>
      <t>(CY SG&amp;A Expenses / CY Sales)</t>
    </r>
    <r>
      <rPr>
        <sz val="10"/>
        <color theme="1"/>
        <rFont val="Calibri"/>
        <family val="2"/>
        <scheme val="minor"/>
      </rPr>
      <t xml:space="preserve"> / (PY SG&amp;A Expenses / PY Sales)</t>
    </r>
  </si>
  <si>
    <r>
      <rPr>
        <sz val="10"/>
        <color rgb="FFFF0000"/>
        <rFont val="Calibri"/>
        <family val="2"/>
        <scheme val="minor"/>
      </rPr>
      <t>[(CY Long term debts + CY Current liabilities) / CY Total Assets]</t>
    </r>
    <r>
      <rPr>
        <sz val="10"/>
        <color theme="1"/>
        <rFont val="Calibri"/>
        <family val="2"/>
        <scheme val="minor"/>
      </rPr>
      <t xml:space="preserve"> / [(PY Long term debts + PY Current liabilities) / PY Total Assets]</t>
    </r>
  </si>
  <si>
    <r>
      <rPr>
        <sz val="10"/>
        <color rgb="FFFF0000"/>
        <rFont val="Calibri"/>
        <family val="2"/>
        <scheme val="minor"/>
      </rPr>
      <t>(Income from continuing operations - Cash flow from operations)</t>
    </r>
    <r>
      <rPr>
        <sz val="10"/>
        <color theme="1"/>
        <rFont val="Calibri"/>
        <family val="2"/>
        <scheme val="minor"/>
      </rPr>
      <t xml:space="preserve">  / CY Total Assets</t>
    </r>
  </si>
  <si>
    <t>M &gt; -2.22, Indicates strong likelihood of earnings manipulation</t>
  </si>
  <si>
    <t>M &gt; -2.76, Indicates strong likelihood of earnings manipulation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</si>
</sst>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0.00_);_(* \(#,##0.00\);_(* &quot;-&quot;??_);_(@_)"/>
    <numFmt numFmtId="165" formatCode="0.0%"/>
  </numFmts>
  <fonts count="34" x14ac:knownFonts="1">
    <font>
      <sz val="11"/>
      <color theme="1"/>
      <name val="Calibri"/>
      <family val="2"/>
      <scheme val="minor"/>
    </font>
    <font>
      <sz val="11"/>
      <color theme="1"/>
      <name val="Calibri"/>
      <family val="2"/>
      <scheme val="minor"/>
    </font>
    <font>
      <sz val="10"/>
      <name val="Calibri"/>
      <family val="2"/>
      <scheme val="minor"/>
    </font>
    <font>
      <b/>
      <sz val="14"/>
      <color theme="3" tint="-0.249977111117893"/>
      <name val="Calibri"/>
      <family val="2"/>
      <scheme val="minor"/>
    </font>
    <font>
      <sz val="8"/>
      <name val="Calibri"/>
      <family val="2"/>
      <scheme val="minor"/>
    </font>
    <font>
      <b/>
      <sz val="8"/>
      <name val="Calibri"/>
      <family val="2"/>
      <scheme val="minor"/>
    </font>
    <font>
      <b/>
      <sz val="10"/>
      <color rgb="FF002060"/>
      <name val="Calibri"/>
      <family val="2"/>
      <scheme val="minor"/>
    </font>
    <font>
      <b/>
      <sz val="10"/>
      <name val="Calibri"/>
      <family val="2"/>
      <scheme val="minor"/>
    </font>
    <font>
      <b/>
      <sz val="12"/>
      <color theme="0" tint="-4.9989318521683403E-2"/>
      <name val="Calibri"/>
      <family val="2"/>
      <scheme val="minor"/>
    </font>
    <font>
      <b/>
      <sz val="1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rgb="FF3F3F76"/>
      <name val="Calibri"/>
      <family val="2"/>
    </font>
    <font>
      <sz val="11"/>
      <name val="Calibri"/>
      <family val="2"/>
      <scheme val="minor"/>
    </font>
    <font>
      <b/>
      <sz val="12"/>
      <name val="Calibri"/>
      <family val="2"/>
      <scheme val="minor"/>
    </font>
    <font>
      <sz val="11"/>
      <color rgb="FF9C0006"/>
      <name val="Calibri"/>
      <family val="2"/>
      <scheme val="minor"/>
    </font>
    <font>
      <sz val="10"/>
      <name val="Calibri"/>
      <family val="2"/>
    </font>
    <font>
      <b/>
      <sz val="14"/>
      <name val="Calibri"/>
      <family val="2"/>
      <scheme val="minor"/>
    </font>
    <font>
      <sz val="12"/>
      <name val="Calibri"/>
      <family val="2"/>
      <scheme val="minor"/>
    </font>
    <font>
      <b/>
      <sz val="11"/>
      <color theme="3" tint="-0.249977111117893"/>
      <name val="Calibri"/>
      <family val="2"/>
      <scheme val="minor"/>
    </font>
    <font>
      <sz val="11"/>
      <color theme="3" tint="-0.249977111117893"/>
      <name val="Calibri"/>
      <family val="2"/>
      <scheme val="minor"/>
    </font>
    <font>
      <b/>
      <sz val="12"/>
      <color theme="0"/>
      <name val="Calibri"/>
      <family val="2"/>
      <scheme val="minor"/>
    </font>
    <font>
      <b/>
      <sz val="16"/>
      <name val="Calibri"/>
      <family val="2"/>
      <scheme val="minor"/>
    </font>
    <font>
      <sz val="16"/>
      <name val="Calibri"/>
      <family val="2"/>
      <scheme val="minor"/>
    </font>
    <font>
      <sz val="12"/>
      <color theme="1"/>
      <name val="Calibri"/>
      <family val="2"/>
      <scheme val="minor"/>
    </font>
    <font>
      <b/>
      <vertAlign val="subscript"/>
      <sz val="11"/>
      <name val="Calibri"/>
      <family val="2"/>
      <scheme val="minor"/>
    </font>
    <font>
      <b/>
      <vertAlign val="subscript"/>
      <sz val="12"/>
      <name val="Calibri"/>
      <family val="2"/>
      <scheme val="minor"/>
    </font>
    <font>
      <sz val="10"/>
      <color rgb="FF00206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rgb="FFFF0000"/>
      <name val="Calibri"/>
      <family val="2"/>
      <scheme val="minor"/>
    </font>
    <font>
      <b/>
      <sz val="11"/>
      <color theme="2" tint="-0.89999084444715716"/>
      <name val="Calibri"/>
      <family val="2"/>
      <scheme val="minor"/>
    </font>
  </fonts>
  <fills count="8">
    <fill>
      <patternFill patternType="none"/>
    </fill>
    <fill>
      <patternFill patternType="gray125"/>
    </fill>
    <fill>
      <patternFill patternType="solid">
        <fgColor rgb="FFFFCC99"/>
      </patternFill>
    </fill>
    <fill>
      <patternFill patternType="solid">
        <fgColor rgb="FFFFC7CE"/>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9" tint="0.59999389629810485"/>
        <bgColor indexed="64"/>
      </patternFill>
    </fill>
  </fills>
  <borders count="18">
    <border>
      <left/>
      <right/>
      <top/>
      <bottom/>
      <diagonal/>
    </border>
    <border>
      <left/>
      <right/>
      <top style="thin">
        <color indexed="21"/>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thin">
        <color indexed="21"/>
      </left>
      <right/>
      <top style="thin">
        <color indexed="21"/>
      </top>
      <bottom style="thin">
        <color indexed="21"/>
      </bottom>
      <diagonal/>
    </border>
    <border>
      <left style="thin">
        <color indexed="21"/>
      </left>
      <right style="thin">
        <color theme="3" tint="-0.24994659260841701"/>
      </right>
      <top style="thin">
        <color theme="3" tint="-0.24994659260841701"/>
      </top>
      <bottom style="thin">
        <color theme="3" tint="-0.24994659260841701"/>
      </bottom>
      <diagonal/>
    </border>
    <border>
      <left style="thin">
        <color indexed="12"/>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thin">
        <color indexed="64"/>
      </left>
      <right style="thin">
        <color indexed="64"/>
      </right>
      <top style="thin">
        <color indexed="64"/>
      </top>
      <bottom style="thin">
        <color indexed="64"/>
      </bottom>
      <diagonal/>
    </border>
    <border>
      <left/>
      <right/>
      <top style="thin">
        <color theme="3" tint="-0.24994659260841701"/>
      </top>
      <bottom style="thin">
        <color theme="3" tint="-0.24994659260841701"/>
      </bottom>
      <diagonal/>
    </border>
    <border>
      <left style="thin">
        <color rgb="FF7F7F7F"/>
      </left>
      <right style="thin">
        <color rgb="FF7F7F7F"/>
      </right>
      <top style="thin">
        <color rgb="FF7F7F7F"/>
      </top>
      <bottom style="thin">
        <color rgb="FF7F7F7F"/>
      </bottom>
      <diagonal/>
    </border>
    <border>
      <left style="thin">
        <color theme="3" tint="-0.24994659260841701"/>
      </left>
      <right style="thin">
        <color theme="3" tint="-0.24994659260841701"/>
      </right>
      <top/>
      <bottom style="thin">
        <color theme="3" tint="-0.24994659260841701"/>
      </bottom>
      <diagonal/>
    </border>
    <border>
      <left/>
      <right style="thin">
        <color rgb="FF7F7F7F"/>
      </right>
      <top style="thin">
        <color rgb="FF7F7F7F"/>
      </top>
      <bottom style="thin">
        <color rgb="FF7F7F7F"/>
      </bottom>
      <diagonal/>
    </border>
    <border>
      <left style="thin">
        <color indexed="21"/>
      </left>
      <right/>
      <top/>
      <bottom/>
      <diagonal/>
    </border>
    <border>
      <left style="thin">
        <color indexed="21"/>
      </left>
      <right style="thin">
        <color theme="3" tint="-0.24994659260841701"/>
      </right>
      <top/>
      <bottom style="thin">
        <color theme="3" tint="-0.24994659260841701"/>
      </bottom>
      <diagonal/>
    </border>
    <border>
      <left/>
      <right/>
      <top/>
      <bottom style="thin">
        <color indexed="64"/>
      </bottom>
      <diagonal/>
    </border>
    <border>
      <left/>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2" borderId="11" applyNumberFormat="0" applyAlignment="0" applyProtection="0"/>
    <xf numFmtId="0" fontId="16" fillId="3" borderId="0" applyNumberFormat="0" applyBorder="0" applyAlignment="0" applyProtection="0"/>
  </cellStyleXfs>
  <cellXfs count="144">
    <xf numFmtId="0" fontId="0" fillId="0" borderId="0" xfId="0"/>
    <xf numFmtId="0" fontId="0" fillId="0" borderId="0" xfId="0" applyFont="1" applyProtection="1">
      <protection locked="0"/>
    </xf>
    <xf numFmtId="0" fontId="3" fillId="0" borderId="0" xfId="0" applyFont="1" applyFill="1" applyBorder="1" applyAlignment="1" applyProtection="1">
      <alignment horizontal="left"/>
      <protection locked="0"/>
    </xf>
    <xf numFmtId="0" fontId="4" fillId="0" borderId="0" xfId="0" applyFont="1" applyFill="1" applyBorder="1" applyAlignment="1" applyProtection="1">
      <protection locked="0"/>
    </xf>
    <xf numFmtId="0" fontId="5" fillId="0" borderId="1"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6" fillId="0" borderId="0" xfId="0" applyFont="1" applyFill="1" applyBorder="1" applyAlignment="1" applyProtection="1">
      <alignment horizontal="center" vertical="center" wrapText="1"/>
      <protection locked="0"/>
    </xf>
    <xf numFmtId="0" fontId="5" fillId="0" borderId="0" xfId="0" applyFont="1" applyFill="1" applyBorder="1" applyProtection="1">
      <protection locked="0"/>
    </xf>
    <xf numFmtId="0" fontId="2" fillId="0" borderId="7" xfId="0" applyFont="1" applyBorder="1" applyAlignment="1" applyProtection="1">
      <alignment horizontal="left" vertical="center" wrapText="1"/>
      <protection locked="0"/>
    </xf>
    <xf numFmtId="43" fontId="0" fillId="0" borderId="0" xfId="0" applyNumberFormat="1" applyFont="1" applyProtection="1">
      <protection locked="0"/>
    </xf>
    <xf numFmtId="0" fontId="10" fillId="0" borderId="0" xfId="0" applyFont="1" applyProtection="1">
      <protection locked="0"/>
    </xf>
    <xf numFmtId="43" fontId="10" fillId="0" borderId="0" xfId="1" applyFont="1" applyProtection="1">
      <protection locked="0"/>
    </xf>
    <xf numFmtId="43" fontId="7" fillId="0" borderId="0" xfId="1" applyFont="1" applyFill="1" applyBorder="1" applyProtection="1">
      <protection locked="0"/>
    </xf>
    <xf numFmtId="0" fontId="7" fillId="0" borderId="0" xfId="0" applyFont="1" applyFill="1" applyBorder="1" applyProtection="1">
      <protection locked="0"/>
    </xf>
    <xf numFmtId="165" fontId="2"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4" fillId="0" borderId="0" xfId="0" applyFont="1" applyFill="1" applyBorder="1" applyProtection="1">
      <protection locked="0"/>
    </xf>
    <xf numFmtId="43" fontId="0" fillId="0" borderId="0" xfId="1" applyFont="1" applyProtection="1">
      <protection locked="0"/>
    </xf>
    <xf numFmtId="10" fontId="7" fillId="0" borderId="0" xfId="2" applyNumberFormat="1" applyFont="1" applyFill="1" applyBorder="1" applyProtection="1">
      <protection locked="0"/>
    </xf>
    <xf numFmtId="0" fontId="2" fillId="0" borderId="0" xfId="0" applyFont="1" applyFill="1" applyBorder="1" applyProtection="1">
      <protection locked="0"/>
    </xf>
    <xf numFmtId="43" fontId="7" fillId="0" borderId="0" xfId="1" applyFont="1" applyFill="1" applyBorder="1" applyAlignment="1" applyProtection="1">
      <alignment wrapText="1"/>
      <protection locked="0"/>
    </xf>
    <xf numFmtId="10" fontId="7" fillId="0" borderId="0" xfId="2" applyNumberFormat="1" applyFont="1" applyFill="1" applyBorder="1" applyAlignment="1" applyProtection="1">
      <alignment wrapText="1"/>
      <protection locked="0"/>
    </xf>
    <xf numFmtId="0" fontId="7" fillId="0" borderId="0" xfId="0" applyFont="1" applyFill="1" applyBorder="1" applyAlignment="1" applyProtection="1">
      <alignment wrapText="1"/>
      <protection locked="0"/>
    </xf>
    <xf numFmtId="0" fontId="2" fillId="0" borderId="7" xfId="0" applyFont="1" applyFill="1" applyBorder="1" applyAlignment="1" applyProtection="1">
      <alignment wrapText="1"/>
      <protection locked="0"/>
    </xf>
    <xf numFmtId="43" fontId="2" fillId="0" borderId="0" xfId="1" applyFont="1" applyFill="1" applyBorder="1" applyProtection="1">
      <protection locked="0"/>
    </xf>
    <xf numFmtId="10" fontId="2" fillId="0" borderId="0" xfId="2" applyNumberFormat="1" applyFont="1" applyFill="1" applyBorder="1" applyProtection="1">
      <protection locked="0"/>
    </xf>
    <xf numFmtId="43" fontId="2" fillId="0" borderId="0" xfId="1" applyFont="1" applyFill="1" applyBorder="1" applyAlignment="1" applyProtection="1">
      <alignment horizontal="right" wrapText="1"/>
      <protection locked="0"/>
    </xf>
    <xf numFmtId="10" fontId="2" fillId="0" borderId="0" xfId="2" applyNumberFormat="1" applyFont="1" applyFill="1" applyBorder="1" applyAlignment="1" applyProtection="1">
      <alignment horizontal="right" wrapText="1"/>
      <protection locked="0"/>
    </xf>
    <xf numFmtId="43" fontId="7" fillId="0" borderId="0" xfId="1" applyFont="1" applyFill="1" applyBorder="1" applyAlignment="1" applyProtection="1">
      <alignment horizontal="left" wrapText="1"/>
      <protection locked="0"/>
    </xf>
    <xf numFmtId="10" fontId="7" fillId="0" borderId="0" xfId="2" applyNumberFormat="1" applyFont="1" applyFill="1" applyBorder="1" applyAlignment="1" applyProtection="1">
      <alignment horizontal="center" wrapText="1"/>
      <protection locked="0"/>
    </xf>
    <xf numFmtId="43" fontId="7" fillId="0" borderId="0" xfId="1" applyFont="1" applyFill="1" applyBorder="1" applyAlignment="1" applyProtection="1">
      <alignment horizontal="right" wrapText="1"/>
      <protection locked="0"/>
    </xf>
    <xf numFmtId="10" fontId="7" fillId="0" borderId="0" xfId="2" applyNumberFormat="1" applyFont="1" applyFill="1" applyBorder="1" applyAlignment="1" applyProtection="1">
      <alignment horizontal="right" wrapText="1"/>
      <protection locked="0"/>
    </xf>
    <xf numFmtId="165" fontId="7" fillId="0" borderId="0" xfId="0" applyNumberFormat="1" applyFont="1" applyFill="1" applyBorder="1" applyAlignment="1" applyProtection="1">
      <alignment horizontal="right" wrapText="1"/>
      <protection locked="0"/>
    </xf>
    <xf numFmtId="0" fontId="10" fillId="0" borderId="0" xfId="0" applyFont="1" applyBorder="1" applyProtection="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wrapText="1"/>
      <protection locked="0"/>
    </xf>
    <xf numFmtId="0" fontId="2" fillId="0" borderId="8" xfId="0" applyFont="1" applyBorder="1" applyAlignment="1" applyProtection="1">
      <alignment horizontal="left" wrapText="1"/>
      <protection locked="0"/>
    </xf>
    <xf numFmtId="43" fontId="11" fillId="0" borderId="0" xfId="1" applyFont="1" applyProtection="1">
      <protection locked="0"/>
    </xf>
    <xf numFmtId="10" fontId="7" fillId="0" borderId="0" xfId="0" applyNumberFormat="1" applyFont="1" applyFill="1" applyBorder="1" applyAlignment="1" applyProtection="1">
      <alignment wrapText="1"/>
      <protection locked="0"/>
    </xf>
    <xf numFmtId="10" fontId="2" fillId="0" borderId="0" xfId="0" applyNumberFormat="1" applyFont="1" applyFill="1" applyBorder="1" applyProtection="1">
      <protection locked="0"/>
    </xf>
    <xf numFmtId="10" fontId="7" fillId="0" borderId="0" xfId="0" applyNumberFormat="1" applyFont="1" applyFill="1" applyBorder="1" applyAlignment="1" applyProtection="1">
      <alignment horizontal="center" wrapText="1"/>
      <protection locked="0"/>
    </xf>
    <xf numFmtId="10" fontId="7" fillId="0" borderId="0" xfId="0" applyNumberFormat="1" applyFont="1" applyFill="1" applyBorder="1" applyAlignment="1" applyProtection="1">
      <alignment horizontal="right" wrapText="1"/>
      <protection locked="0"/>
    </xf>
    <xf numFmtId="0" fontId="12" fillId="0" borderId="0" xfId="0" applyFont="1"/>
    <xf numFmtId="165" fontId="2" fillId="0" borderId="7" xfId="0" applyNumberFormat="1" applyFont="1" applyFill="1" applyBorder="1" applyAlignment="1" applyProtection="1">
      <alignment horizontal="right" wrapText="1"/>
    </xf>
    <xf numFmtId="43" fontId="2" fillId="0" borderId="0" xfId="1" applyFont="1" applyProtection="1">
      <protection locked="0"/>
    </xf>
    <xf numFmtId="0" fontId="2" fillId="0" borderId="0" xfId="0" applyFont="1" applyFill="1" applyProtection="1">
      <protection locked="0"/>
    </xf>
    <xf numFmtId="10" fontId="2" fillId="0" borderId="0" xfId="2" applyNumberFormat="1" applyFont="1" applyFill="1" applyProtection="1">
      <protection locked="0"/>
    </xf>
    <xf numFmtId="10" fontId="2" fillId="0" borderId="0" xfId="0" applyNumberFormat="1" applyFont="1" applyFill="1" applyProtection="1">
      <protection locked="0"/>
    </xf>
    <xf numFmtId="10" fontId="2" fillId="0" borderId="7" xfId="0" applyNumberFormat="1" applyFont="1" applyFill="1" applyBorder="1" applyAlignment="1" applyProtection="1">
      <alignment horizontal="right" wrapText="1"/>
    </xf>
    <xf numFmtId="10" fontId="2" fillId="0" borderId="7" xfId="2" applyNumberFormat="1" applyFont="1" applyFill="1" applyBorder="1" applyAlignment="1" applyProtection="1">
      <alignment horizontal="right" wrapText="1"/>
    </xf>
    <xf numFmtId="43" fontId="2" fillId="0" borderId="0" xfId="1" applyFont="1" applyFill="1" applyProtection="1">
      <protection locked="0"/>
    </xf>
    <xf numFmtId="10" fontId="2" fillId="0" borderId="2" xfId="2" applyNumberFormat="1" applyFont="1" applyFill="1" applyBorder="1" applyAlignment="1" applyProtection="1">
      <alignment horizontal="right" wrapText="1"/>
    </xf>
    <xf numFmtId="10" fontId="2" fillId="0" borderId="2" xfId="0" applyNumberFormat="1" applyFont="1" applyFill="1" applyBorder="1" applyAlignment="1" applyProtection="1">
      <alignment horizontal="right" wrapText="1"/>
    </xf>
    <xf numFmtId="0" fontId="2" fillId="0" borderId="0" xfId="0" applyFont="1" applyProtection="1">
      <protection locked="0"/>
    </xf>
    <xf numFmtId="0" fontId="2" fillId="0" borderId="12"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2" xfId="0" applyFont="1" applyFill="1" applyBorder="1" applyAlignment="1" applyProtection="1">
      <alignment wrapText="1"/>
      <protection locked="0"/>
    </xf>
    <xf numFmtId="0" fontId="2" fillId="0" borderId="9" xfId="0" applyFont="1" applyFill="1" applyBorder="1" applyAlignment="1" applyProtection="1">
      <alignment wrapText="1"/>
      <protection locked="0"/>
    </xf>
    <xf numFmtId="0" fontId="9" fillId="0" borderId="0" xfId="0" applyFont="1" applyFill="1" applyBorder="1" applyAlignment="1" applyProtection="1">
      <alignment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43" fontId="17" fillId="2" borderId="13" xfId="3" applyNumberFormat="1" applyFont="1" applyBorder="1" applyAlignment="1" applyProtection="1">
      <alignment horizontal="right" vertical="center" wrapText="1"/>
      <protection locked="0"/>
    </xf>
    <xf numFmtId="10" fontId="2" fillId="0" borderId="10" xfId="0" applyNumberFormat="1" applyFont="1" applyFill="1" applyBorder="1" applyAlignment="1" applyProtection="1">
      <alignment horizontal="right" wrapText="1"/>
    </xf>
    <xf numFmtId="43" fontId="17" fillId="2" borderId="11" xfId="3" applyNumberFormat="1" applyFont="1" applyAlignment="1" applyProtection="1">
      <alignment horizontal="right" vertical="center" wrapText="1"/>
      <protection locked="0"/>
    </xf>
    <xf numFmtId="10" fontId="2" fillId="0" borderId="10" xfId="2" applyNumberFormat="1" applyFont="1" applyFill="1" applyBorder="1" applyAlignment="1" applyProtection="1">
      <alignment horizontal="right" wrapText="1"/>
    </xf>
    <xf numFmtId="10" fontId="2" fillId="0" borderId="9" xfId="0" applyNumberFormat="1" applyFont="1" applyFill="1" applyBorder="1" applyAlignment="1" applyProtection="1">
      <alignment horizontal="right" wrapText="1"/>
    </xf>
    <xf numFmtId="2" fontId="17" fillId="2" borderId="11" xfId="3" applyNumberFormat="1" applyFont="1" applyAlignment="1" applyProtection="1">
      <alignment horizontal="right" wrapText="1"/>
      <protection locked="0"/>
    </xf>
    <xf numFmtId="43" fontId="17" fillId="2" borderId="11" xfId="3" applyNumberFormat="1" applyFont="1" applyAlignment="1" applyProtection="1">
      <alignment horizontal="right" wrapText="1"/>
      <protection locked="0"/>
    </xf>
    <xf numFmtId="0" fontId="7" fillId="4" borderId="4" xfId="0" applyFont="1" applyFill="1" applyBorder="1" applyAlignment="1" applyProtection="1">
      <alignment horizontal="left" vertical="center" wrapText="1"/>
      <protection locked="0"/>
    </xf>
    <xf numFmtId="43" fontId="7" fillId="4" borderId="9" xfId="1" applyFont="1" applyFill="1" applyBorder="1" applyAlignment="1" applyProtection="1">
      <alignment horizontal="right" vertical="center" wrapText="1"/>
    </xf>
    <xf numFmtId="10" fontId="7" fillId="4" borderId="10" xfId="0" applyNumberFormat="1" applyFont="1" applyFill="1" applyBorder="1" applyAlignment="1" applyProtection="1">
      <alignment horizontal="right" wrapText="1"/>
    </xf>
    <xf numFmtId="10" fontId="7" fillId="4" borderId="10" xfId="2" applyNumberFormat="1" applyFont="1" applyFill="1" applyBorder="1" applyAlignment="1" applyProtection="1">
      <alignment horizontal="right" wrapText="1"/>
    </xf>
    <xf numFmtId="10" fontId="7" fillId="4" borderId="9" xfId="0" applyNumberFormat="1" applyFont="1" applyFill="1" applyBorder="1" applyAlignment="1" applyProtection="1">
      <alignment horizontal="right" wrapText="1"/>
    </xf>
    <xf numFmtId="43" fontId="17" fillId="2" borderId="13" xfId="3" applyNumberFormat="1" applyFont="1" applyBorder="1" applyAlignment="1" applyProtection="1">
      <alignment horizontal="right" wrapText="1"/>
      <protection locked="0"/>
    </xf>
    <xf numFmtId="0" fontId="7" fillId="4" borderId="2" xfId="0" applyFont="1" applyFill="1" applyBorder="1" applyAlignment="1" applyProtection="1">
      <alignment horizontal="left" vertical="center" wrapText="1"/>
      <protection locked="0"/>
    </xf>
    <xf numFmtId="43" fontId="7" fillId="4" borderId="3" xfId="1" applyFont="1" applyFill="1" applyBorder="1" applyAlignment="1" applyProtection="1">
      <alignment horizontal="right" vertical="center" wrapText="1"/>
    </xf>
    <xf numFmtId="10" fontId="7" fillId="4" borderId="7" xfId="0" applyNumberFormat="1" applyFont="1" applyFill="1" applyBorder="1" applyAlignment="1" applyProtection="1">
      <alignment horizontal="right" wrapText="1"/>
    </xf>
    <xf numFmtId="10" fontId="7" fillId="4" borderId="7" xfId="2" applyNumberFormat="1" applyFont="1" applyFill="1" applyBorder="1" applyAlignment="1" applyProtection="1">
      <alignment horizontal="right" wrapText="1"/>
    </xf>
    <xf numFmtId="43" fontId="7" fillId="4" borderId="7" xfId="1" applyFont="1" applyFill="1" applyBorder="1" applyAlignment="1" applyProtection="1">
      <alignment horizontal="right" vertical="center" wrapText="1"/>
    </xf>
    <xf numFmtId="10" fontId="7" fillId="4" borderId="2" xfId="2" applyNumberFormat="1" applyFont="1" applyFill="1" applyBorder="1" applyAlignment="1" applyProtection="1">
      <alignment horizontal="right" wrapText="1"/>
    </xf>
    <xf numFmtId="10" fontId="7" fillId="4" borderId="2" xfId="0" applyNumberFormat="1" applyFont="1" applyFill="1" applyBorder="1" applyAlignment="1" applyProtection="1">
      <alignment horizontal="right" wrapText="1"/>
    </xf>
    <xf numFmtId="0" fontId="7" fillId="4" borderId="7" xfId="0" applyFont="1" applyFill="1" applyBorder="1" applyAlignment="1" applyProtection="1">
      <alignment horizontal="left" vertical="center" wrapText="1"/>
      <protection locked="0"/>
    </xf>
    <xf numFmtId="165" fontId="6" fillId="4" borderId="0" xfId="0" applyNumberFormat="1" applyFont="1" applyFill="1" applyBorder="1" applyAlignment="1" applyProtection="1">
      <alignment horizontal="center" vertical="center" wrapText="1"/>
      <protection locked="0"/>
    </xf>
    <xf numFmtId="0" fontId="18" fillId="0" borderId="0" xfId="0" applyFont="1" applyFill="1" applyBorder="1" applyAlignment="1" applyProtection="1">
      <alignment horizontal="left"/>
      <protection locked="0"/>
    </xf>
    <xf numFmtId="165" fontId="7" fillId="4" borderId="7" xfId="0" applyNumberFormat="1" applyFont="1" applyFill="1" applyBorder="1" applyAlignment="1" applyProtection="1">
      <alignment horizontal="right" wrapText="1"/>
    </xf>
    <xf numFmtId="0" fontId="0" fillId="0" borderId="0" xfId="0" applyFont="1" applyFill="1" applyProtection="1">
      <protection locked="0"/>
    </xf>
    <xf numFmtId="0" fontId="0" fillId="0" borderId="0" xfId="0" applyFont="1" applyAlignment="1" applyProtection="1">
      <alignment horizontal="left" vertical="center"/>
      <protection locked="0"/>
    </xf>
    <xf numFmtId="2" fontId="0" fillId="0" borderId="0" xfId="0" applyNumberFormat="1" applyFont="1" applyProtection="1">
      <protection locked="0"/>
    </xf>
    <xf numFmtId="0" fontId="20" fillId="0" borderId="0" xfId="0" applyFont="1" applyFill="1" applyBorder="1" applyAlignment="1" applyProtection="1">
      <alignment horizontal="left"/>
      <protection locked="0"/>
    </xf>
    <xf numFmtId="0" fontId="14" fillId="0" borderId="0" xfId="0" applyFont="1" applyFill="1" applyBorder="1" applyAlignment="1" applyProtection="1">
      <protection locked="0"/>
    </xf>
    <xf numFmtId="2" fontId="0" fillId="0" borderId="0" xfId="2" applyNumberFormat="1" applyFont="1" applyProtection="1">
      <protection locked="0"/>
    </xf>
    <xf numFmtId="0" fontId="9" fillId="0" borderId="0" xfId="0" applyFont="1" applyFill="1" applyAlignment="1" applyProtection="1">
      <alignment horizontal="left" vertical="center" wrapText="1"/>
      <protection locked="0"/>
    </xf>
    <xf numFmtId="0" fontId="7" fillId="0" borderId="0" xfId="0" applyFont="1" applyFill="1" applyProtection="1">
      <protection locked="0"/>
    </xf>
    <xf numFmtId="0" fontId="2" fillId="0" borderId="0" xfId="0" applyFont="1" applyFill="1" applyAlignment="1" applyProtection="1">
      <alignment horizontal="left" vertical="center"/>
      <protection locked="0"/>
    </xf>
    <xf numFmtId="0" fontId="2" fillId="0" borderId="0" xfId="0" applyFont="1" applyFill="1" applyAlignment="1" applyProtection="1">
      <alignment horizontal="left" vertical="center" wrapText="1"/>
      <protection locked="0"/>
    </xf>
    <xf numFmtId="43" fontId="2" fillId="0" borderId="0" xfId="1" applyFont="1" applyFill="1" applyProtection="1"/>
    <xf numFmtId="0" fontId="10" fillId="0" borderId="0" xfId="0" applyFont="1" applyFill="1" applyProtection="1">
      <protection locked="0"/>
    </xf>
    <xf numFmtId="0" fontId="10" fillId="0" borderId="0" xfId="0" applyFont="1" applyFill="1" applyAlignment="1" applyProtection="1">
      <alignment wrapText="1"/>
      <protection locked="0"/>
    </xf>
    <xf numFmtId="0" fontId="11" fillId="0" borderId="0" xfId="0" applyFont="1" applyFill="1" applyAlignment="1" applyProtection="1">
      <alignment horizontal="left" vertical="center"/>
      <protection locked="0"/>
    </xf>
    <xf numFmtId="0" fontId="10" fillId="0" borderId="0" xfId="0" applyFont="1" applyFill="1" applyAlignment="1" applyProtection="1">
      <alignment horizontal="left"/>
      <protection locked="0"/>
    </xf>
    <xf numFmtId="43" fontId="11" fillId="0" borderId="0" xfId="1" applyFont="1" applyFill="1" applyProtection="1">
      <protection locked="0"/>
    </xf>
    <xf numFmtId="0" fontId="20" fillId="0" borderId="0" xfId="0" applyFont="1" applyFill="1" applyBorder="1" applyAlignment="1" applyProtection="1">
      <alignment horizontal="left"/>
    </xf>
    <xf numFmtId="0" fontId="21" fillId="0" borderId="0" xfId="0" applyFont="1" applyFill="1" applyBorder="1" applyAlignment="1" applyProtection="1">
      <alignment horizontal="left"/>
    </xf>
    <xf numFmtId="0" fontId="10" fillId="0" borderId="0" xfId="0" applyFont="1" applyAlignment="1" applyProtection="1">
      <alignment wrapText="1"/>
      <protection locked="0"/>
    </xf>
    <xf numFmtId="0" fontId="22" fillId="5" borderId="16" xfId="0" applyNumberFormat="1" applyFont="1" applyFill="1" applyBorder="1" applyAlignment="1" applyProtection="1">
      <alignment horizontal="center" wrapText="1"/>
      <protection locked="0"/>
    </xf>
    <xf numFmtId="0" fontId="0" fillId="0" borderId="0" xfId="0" applyFont="1"/>
    <xf numFmtId="0" fontId="25" fillId="0" borderId="0" xfId="0" applyFont="1"/>
    <xf numFmtId="0" fontId="2" fillId="0" borderId="0" xfId="0" applyFont="1" applyFill="1" applyAlignment="1" applyProtection="1">
      <alignment horizontal="left" wrapText="1"/>
      <protection locked="0"/>
    </xf>
    <xf numFmtId="43" fontId="2" fillId="0" borderId="0" xfId="1" applyFont="1" applyFill="1" applyAlignment="1" applyProtection="1"/>
    <xf numFmtId="0" fontId="10" fillId="0" borderId="0" xfId="0" applyFont="1"/>
    <xf numFmtId="0" fontId="2" fillId="2" borderId="11" xfId="3" applyFont="1" applyProtection="1">
      <protection locked="0"/>
    </xf>
    <xf numFmtId="164" fontId="10" fillId="0" borderId="0" xfId="0" applyNumberFormat="1" applyFont="1"/>
    <xf numFmtId="0" fontId="15" fillId="0" borderId="0" xfId="0" applyFont="1" applyAlignment="1">
      <alignment horizontal="center" vertical="center"/>
    </xf>
    <xf numFmtId="0" fontId="13" fillId="2" borderId="11" xfId="3"/>
    <xf numFmtId="0" fontId="15" fillId="0" borderId="0" xfId="0" applyFont="1" applyFill="1" applyBorder="1" applyAlignment="1" applyProtection="1">
      <alignment horizontal="left"/>
      <protection locked="0"/>
    </xf>
    <xf numFmtId="0" fontId="19" fillId="0" borderId="0" xfId="0" applyFont="1" applyFill="1" applyBorder="1" applyAlignment="1" applyProtection="1">
      <protection locked="0"/>
    </xf>
    <xf numFmtId="0" fontId="28" fillId="0" borderId="0" xfId="0" applyFont="1" applyProtection="1">
      <protection locked="0"/>
    </xf>
    <xf numFmtId="43" fontId="16" fillId="3" borderId="0" xfId="4" applyNumberFormat="1" applyProtection="1"/>
    <xf numFmtId="0" fontId="8" fillId="5" borderId="0" xfId="0" applyNumberFormat="1" applyFont="1" applyFill="1" applyBorder="1" applyAlignment="1" applyProtection="1">
      <alignment horizontal="center" wrapText="1"/>
      <protection locked="0"/>
    </xf>
    <xf numFmtId="0" fontId="23" fillId="0" borderId="0" xfId="0" applyFont="1" applyFill="1" applyBorder="1" applyAlignment="1" applyProtection="1">
      <alignment horizontal="left"/>
    </xf>
    <xf numFmtId="0" fontId="18" fillId="0" borderId="0" xfId="0" applyFont="1" applyFill="1" applyBorder="1" applyAlignment="1" applyProtection="1">
      <alignment horizontal="left"/>
      <protection locked="0"/>
    </xf>
    <xf numFmtId="0" fontId="24" fillId="0" borderId="0" xfId="0" applyFont="1" applyFill="1" applyBorder="1" applyAlignment="1" applyProtection="1">
      <alignment horizontal="left"/>
    </xf>
    <xf numFmtId="0" fontId="12" fillId="0" borderId="17" xfId="0" applyFont="1" applyBorder="1"/>
    <xf numFmtId="0" fontId="15" fillId="0" borderId="0" xfId="0" applyFont="1" applyFill="1" applyBorder="1" applyAlignment="1" applyProtection="1">
      <alignment horizontal="left"/>
      <protection locked="0"/>
    </xf>
    <xf numFmtId="0" fontId="18" fillId="0" borderId="0" xfId="0" applyFont="1" applyFill="1" applyBorder="1" applyAlignment="1" applyProtection="1">
      <alignment horizontal="left"/>
    </xf>
    <xf numFmtId="0" fontId="31" fillId="0" borderId="0" xfId="0" applyFont="1"/>
    <xf numFmtId="0" fontId="30" fillId="0" borderId="0" xfId="0" applyFont="1"/>
    <xf numFmtId="0" fontId="12" fillId="0" borderId="0" xfId="0" applyFont="1" applyAlignment="1">
      <alignment horizontal="center" vertical="center"/>
    </xf>
    <xf numFmtId="0" fontId="31" fillId="0" borderId="0" xfId="0" applyFont="1" applyProtection="1"/>
    <xf numFmtId="0" fontId="0" fillId="0" borderId="0" xfId="0" applyProtection="1"/>
    <xf numFmtId="0" fontId="15" fillId="0" borderId="0" xfId="0" applyFont="1" applyFill="1" applyBorder="1" applyAlignment="1" applyProtection="1">
      <alignment horizontal="left"/>
    </xf>
    <xf numFmtId="0" fontId="12" fillId="0" borderId="0" xfId="0" applyFont="1" applyProtection="1"/>
    <xf numFmtId="0" fontId="29" fillId="5" borderId="16" xfId="0" applyNumberFormat="1" applyFont="1" applyFill="1" applyBorder="1" applyAlignment="1" applyProtection="1">
      <alignment horizontal="center" vertical="center" wrapText="1"/>
    </xf>
    <xf numFmtId="0" fontId="10" fillId="0" borderId="0" xfId="0" applyFont="1" applyProtection="1"/>
    <xf numFmtId="43" fontId="10" fillId="0" borderId="0" xfId="1" applyFont="1" applyProtection="1"/>
    <xf numFmtId="0" fontId="10" fillId="0" borderId="0" xfId="0" applyFont="1" applyAlignment="1" applyProtection="1">
      <alignment wrapText="1"/>
    </xf>
    <xf numFmtId="43" fontId="10" fillId="0" borderId="0" xfId="0" applyNumberFormat="1" applyFont="1" applyProtection="1"/>
    <xf numFmtId="0" fontId="12" fillId="0" borderId="0" xfId="0" applyFont="1" applyFill="1" applyProtection="1"/>
    <xf numFmtId="0" fontId="0" fillId="0" borderId="0" xfId="0" applyFill="1" applyProtection="1"/>
    <xf numFmtId="0" fontId="0" fillId="0" borderId="0" xfId="0" applyAlignment="1" applyProtection="1">
      <alignment wrapText="1"/>
    </xf>
    <xf numFmtId="0" fontId="0" fillId="0" borderId="0" xfId="0" applyAlignment="1" applyProtection="1">
      <alignment horizontal="center" vertical="center"/>
    </xf>
    <xf numFmtId="0" fontId="33" fillId="6" borderId="16" xfId="0" applyNumberFormat="1" applyFont="1" applyFill="1" applyBorder="1" applyAlignment="1" applyProtection="1">
      <alignment horizontal="center"/>
    </xf>
    <xf numFmtId="0" fontId="11" fillId="7" borderId="0" xfId="0" applyFont="1" applyFill="1" applyAlignment="1" applyProtection="1">
      <alignment vertical="center"/>
    </xf>
    <xf numFmtId="43" fontId="11" fillId="7" borderId="0" xfId="0" quotePrefix="1" applyNumberFormat="1" applyFont="1" applyFill="1" applyAlignment="1" applyProtection="1">
      <alignment horizontal="center" vertical="center"/>
    </xf>
  </cellXfs>
  <cellStyles count="5">
    <cellStyle name="Bad" xfId="4" builtinId="27"/>
    <cellStyle name="Comma" xfId="1" builtinId="3"/>
    <cellStyle name="Input" xfId="3" builtinId="20"/>
    <cellStyle name="Normal" xfId="0" builtinId="0"/>
    <cellStyle name="Percent" xfId="2" builtinId="5"/>
  </cellStyles>
  <dxfs count="7">
    <dxf>
      <fill>
        <gradientFill degree="90">
          <stop position="0">
            <color theme="0"/>
          </stop>
          <stop position="1">
            <color rgb="FFFF0000"/>
          </stop>
        </gradientFill>
      </fill>
    </dxf>
    <dxf>
      <fill>
        <gradientFill degree="90">
          <stop position="0">
            <color theme="0"/>
          </stop>
          <stop position="1">
            <color rgb="FFFF0000"/>
          </stop>
        </gradientFill>
      </fill>
    </dxf>
    <dxf>
      <fill>
        <gradientFill degree="90">
          <stop position="0">
            <color theme="0"/>
          </stop>
          <stop position="1">
            <color rgb="FFFF0000"/>
          </stop>
        </gradientFill>
      </fill>
    </dxf>
    <dxf>
      <fill>
        <gradientFill degree="90">
          <stop position="0">
            <color theme="0"/>
          </stop>
          <stop position="1">
            <color rgb="FFFF0000"/>
          </stop>
        </gradientFill>
      </fill>
    </dxf>
    <dxf>
      <fill>
        <gradientFill degree="90">
          <stop position="0">
            <color theme="0"/>
          </stop>
          <stop position="1">
            <color rgb="FFFF0000"/>
          </stop>
        </gradientFill>
      </fill>
    </dxf>
    <dxf>
      <fill>
        <gradientFill degree="90">
          <stop position="0">
            <color theme="0"/>
          </stop>
          <stop position="1">
            <color rgb="FFFF0000"/>
          </stop>
        </gradientFill>
      </fill>
    </dxf>
    <dxf>
      <fill>
        <gradientFill degree="90">
          <stop position="0">
            <color theme="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C4"/>
  <sheetViews>
    <sheetView tabSelected="1" workbookViewId="0">
      <selection activeCell="B4" sqref="B4"/>
    </sheetView>
  </sheetViews>
  <sheetFormatPr defaultRowHeight="14.5" x14ac:dyDescent="0.35"/>
  <cols>
    <col min="2" max="2" width="63.54296875" customWidth="1"/>
  </cols>
  <sheetData>
    <row r="3" spans="1:3" x14ac:dyDescent="0.35">
      <c r="A3">
        <v>1</v>
      </c>
      <c r="B3" t="s">
        <v>144</v>
      </c>
      <c r="C3" s="113"/>
    </row>
    <row r="4" spans="1:3" x14ac:dyDescent="0.35">
      <c r="A4">
        <v>2</v>
      </c>
      <c r="B4" t="s">
        <v>145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showGridLines="0" zoomScaleNormal="100" workbookViewId="0">
      <pane xSplit="1" ySplit="4" topLeftCell="B43" activePane="bottomRight" state="frozen"/>
      <selection pane="topRight" activeCell="B1" sqref="B1"/>
      <selection pane="bottomLeft" activeCell="A5" sqref="A5"/>
      <selection pane="bottomRight" activeCell="A2" sqref="A2"/>
    </sheetView>
  </sheetViews>
  <sheetFormatPr defaultColWidth="9.1796875" defaultRowHeight="14.5" x14ac:dyDescent="0.35"/>
  <cols>
    <col min="1" max="1" width="44.81640625" style="1" customWidth="1"/>
    <col min="2" max="12" width="14.26953125" style="1" customWidth="1"/>
    <col min="13" max="13" width="14.453125" style="1" customWidth="1"/>
    <col min="14" max="14" width="7.26953125" style="1" customWidth="1"/>
    <col min="15" max="15" width="17.453125" style="1" bestFit="1" customWidth="1"/>
    <col min="16" max="16384" width="9.1796875" style="1"/>
  </cols>
  <sheetData>
    <row r="1" spans="1:15" ht="18.5" x14ac:dyDescent="0.45">
      <c r="A1" s="120" t="s">
        <v>148</v>
      </c>
      <c r="B1" s="120"/>
      <c r="C1" s="120"/>
      <c r="D1" s="120"/>
      <c r="E1" s="120"/>
      <c r="F1" s="120"/>
      <c r="G1" s="120"/>
      <c r="H1" s="120"/>
      <c r="I1" s="120"/>
      <c r="J1" s="14"/>
      <c r="K1" s="14"/>
      <c r="L1" s="14"/>
      <c r="M1" s="14"/>
      <c r="N1" s="15"/>
    </row>
    <row r="2" spans="1:15" ht="18.5" x14ac:dyDescent="0.45">
      <c r="A2" s="114" t="s">
        <v>2</v>
      </c>
      <c r="B2" s="2"/>
      <c r="C2" s="2"/>
      <c r="D2" s="2"/>
      <c r="E2" s="2"/>
      <c r="F2" s="2"/>
      <c r="G2" s="2"/>
      <c r="H2" s="3"/>
      <c r="I2" s="3"/>
      <c r="J2" s="3"/>
      <c r="K2" s="3"/>
      <c r="L2" s="3"/>
      <c r="M2" s="3"/>
      <c r="N2" s="16"/>
    </row>
    <row r="3" spans="1:15" ht="15" customHeight="1" x14ac:dyDescent="0.35">
      <c r="A3" s="4"/>
      <c r="B3" s="118" t="s">
        <v>109</v>
      </c>
      <c r="C3" s="118"/>
      <c r="D3" s="118" t="s">
        <v>110</v>
      </c>
      <c r="E3" s="118"/>
      <c r="F3" s="118" t="s">
        <v>111</v>
      </c>
      <c r="G3" s="118"/>
      <c r="H3" s="118" t="s">
        <v>112</v>
      </c>
      <c r="I3" s="118"/>
      <c r="J3" s="118" t="s">
        <v>113</v>
      </c>
      <c r="K3" s="118"/>
      <c r="L3" s="118" t="s">
        <v>114</v>
      </c>
      <c r="M3" s="118"/>
      <c r="N3" s="16"/>
    </row>
    <row r="4" spans="1:15" ht="26" x14ac:dyDescent="0.35">
      <c r="A4" s="5"/>
      <c r="B4" s="6" t="s">
        <v>115</v>
      </c>
      <c r="C4" s="82" t="s">
        <v>35</v>
      </c>
      <c r="D4" s="6" t="s">
        <v>115</v>
      </c>
      <c r="E4" s="82" t="s">
        <v>35</v>
      </c>
      <c r="F4" s="6" t="s">
        <v>115</v>
      </c>
      <c r="G4" s="82" t="s">
        <v>35</v>
      </c>
      <c r="H4" s="6" t="s">
        <v>115</v>
      </c>
      <c r="I4" s="82" t="s">
        <v>35</v>
      </c>
      <c r="J4" s="6" t="s">
        <v>115</v>
      </c>
      <c r="K4" s="82" t="s">
        <v>35</v>
      </c>
      <c r="L4" s="6" t="s">
        <v>115</v>
      </c>
      <c r="M4" s="82" t="s">
        <v>35</v>
      </c>
      <c r="N4" s="16"/>
    </row>
    <row r="5" spans="1:15" x14ac:dyDescent="0.35">
      <c r="A5" s="58" t="s">
        <v>16</v>
      </c>
      <c r="B5" s="7"/>
      <c r="C5" s="7"/>
      <c r="F5" s="7"/>
      <c r="G5" s="7"/>
      <c r="N5" s="16"/>
    </row>
    <row r="6" spans="1:15" x14ac:dyDescent="0.35">
      <c r="A6" s="7"/>
      <c r="B6" s="7"/>
      <c r="C6" s="7"/>
      <c r="D6" s="16"/>
      <c r="E6" s="16"/>
      <c r="F6" s="7"/>
      <c r="G6" s="7"/>
      <c r="H6" s="16"/>
      <c r="I6" s="16"/>
      <c r="J6" s="16"/>
      <c r="K6" s="16"/>
      <c r="L6" s="16"/>
      <c r="M6" s="16"/>
      <c r="N6" s="16"/>
    </row>
    <row r="7" spans="1:15" x14ac:dyDescent="0.35">
      <c r="A7" s="13" t="s">
        <v>10</v>
      </c>
      <c r="B7" s="13"/>
      <c r="C7" s="13"/>
      <c r="D7" s="19"/>
      <c r="E7" s="10"/>
      <c r="F7" s="13"/>
      <c r="G7" s="13"/>
      <c r="H7" s="19"/>
      <c r="I7" s="10"/>
      <c r="J7" s="10"/>
      <c r="K7" s="10"/>
      <c r="L7" s="10"/>
      <c r="M7" s="10"/>
      <c r="N7" s="16"/>
    </row>
    <row r="8" spans="1:15" x14ac:dyDescent="0.35">
      <c r="A8" s="55" t="s">
        <v>84</v>
      </c>
      <c r="B8" s="61">
        <v>10245.290000000001</v>
      </c>
      <c r="C8" s="62">
        <f>IF($B$23=0,"-",B8/$B$23)</f>
        <v>7.4876200512160648E-3</v>
      </c>
      <c r="D8" s="63">
        <v>10268.75</v>
      </c>
      <c r="E8" s="64">
        <f>IF($D$23=0,"-",D8/$D$23)</f>
        <v>5.5322672209707057E-3</v>
      </c>
      <c r="F8" s="63">
        <v>11260.4</v>
      </c>
      <c r="G8" s="64">
        <f>IF($F$23=0,"-",F8/$F$23)</f>
        <v>4.4171566783957747E-3</v>
      </c>
      <c r="H8" s="63">
        <v>11270.5</v>
      </c>
      <c r="I8" s="64">
        <f>IF($H$23=0,"-",H8/$H$23)</f>
        <v>3.5592113501353587E-3</v>
      </c>
      <c r="J8" s="63">
        <v>11282.81</v>
      </c>
      <c r="K8" s="65">
        <f>IF($J$23=0,"-",J8/$J$23)</f>
        <v>3.2168453062294709E-3</v>
      </c>
      <c r="L8" s="66">
        <v>11292.03</v>
      </c>
      <c r="M8" s="65">
        <f>IF($L$23=0,"-",L8/$L$23)</f>
        <v>2.8530011582365645E-3</v>
      </c>
      <c r="N8" s="16"/>
    </row>
    <row r="9" spans="1:15" x14ac:dyDescent="0.35">
      <c r="A9" s="54" t="s">
        <v>85</v>
      </c>
      <c r="B9" s="67">
        <v>238764.13</v>
      </c>
      <c r="C9" s="62">
        <f>IF($B$23=0,"-",B9/$B$23)</f>
        <v>0.1744972653091478</v>
      </c>
      <c r="D9" s="67">
        <v>284832.31</v>
      </c>
      <c r="E9" s="64">
        <f>IF($D$23=0,"-",D9/$D$23)</f>
        <v>0.15345280117700463</v>
      </c>
      <c r="F9" s="67">
        <v>434197.48</v>
      </c>
      <c r="G9" s="64">
        <f>IF($F$23=0,"-",F9/$F$23)</f>
        <v>0.17032417130160704</v>
      </c>
      <c r="H9" s="67">
        <v>498151.1</v>
      </c>
      <c r="I9" s="64">
        <f>IF($H$23=0,"-",H9/$H$23)</f>
        <v>0.15731556268155042</v>
      </c>
      <c r="J9" s="67">
        <v>555658.09</v>
      </c>
      <c r="K9" s="65">
        <f>IF($J$23=0,"-",J9/$J$23)</f>
        <v>0.15842384288000355</v>
      </c>
      <c r="L9" s="66">
        <v>597518.69999999995</v>
      </c>
      <c r="M9" s="65">
        <f>IF($L$23=0,"-",L9/$L$23)</f>
        <v>0.15096679190260795</v>
      </c>
      <c r="N9" s="16"/>
    </row>
    <row r="10" spans="1:15" ht="13" customHeight="1" x14ac:dyDescent="0.35">
      <c r="A10" s="68" t="s">
        <v>79</v>
      </c>
      <c r="B10" s="69">
        <f>SUM(B8:B9)</f>
        <v>249009.42</v>
      </c>
      <c r="C10" s="70">
        <f>IF($B$23=0,"-",B10/$B$23)</f>
        <v>0.18198488536036389</v>
      </c>
      <c r="D10" s="69">
        <f>SUM(D8:D9)</f>
        <v>295101.06</v>
      </c>
      <c r="E10" s="71">
        <f>IF($D$23=0,"-",D10/$D$23)</f>
        <v>0.15898506839797535</v>
      </c>
      <c r="F10" s="69">
        <f>SUM(F8:F9)</f>
        <v>445457.88</v>
      </c>
      <c r="G10" s="71">
        <f>IF($F$23=0,"-",F10/$F$23)</f>
        <v>0.17474132798000283</v>
      </c>
      <c r="H10" s="69">
        <f>SUM(H8:H9)</f>
        <v>509421.6</v>
      </c>
      <c r="I10" s="71">
        <f>IF($H$23=0,"-",H10/$H$23)</f>
        <v>0.16087477403168576</v>
      </c>
      <c r="J10" s="69">
        <f>SUM(J8:J9)</f>
        <v>566940.9</v>
      </c>
      <c r="K10" s="72">
        <f>IF($J$23=0,"-",J10/$J$23)</f>
        <v>0.16164068818623303</v>
      </c>
      <c r="L10" s="69">
        <f>SUM(L8:L9)</f>
        <v>608810.73</v>
      </c>
      <c r="M10" s="72">
        <f>IF($L$23=0,"-",L10/$L$23)</f>
        <v>0.15381979306084451</v>
      </c>
      <c r="N10" s="16"/>
      <c r="O10" s="17"/>
    </row>
    <row r="11" spans="1:15" x14ac:dyDescent="0.35">
      <c r="A11" s="53"/>
      <c r="B11" s="44"/>
      <c r="C11" s="45"/>
      <c r="D11" s="44"/>
      <c r="E11" s="46"/>
      <c r="F11" s="44"/>
      <c r="G11" s="46"/>
      <c r="H11" s="44"/>
      <c r="I11" s="46"/>
      <c r="J11" s="44"/>
      <c r="K11" s="47"/>
      <c r="L11" s="44"/>
      <c r="M11" s="47"/>
      <c r="N11" s="16"/>
      <c r="O11" s="17"/>
    </row>
    <row r="12" spans="1:15" s="10" customFormat="1" ht="13" x14ac:dyDescent="0.3">
      <c r="A12" s="13" t="s">
        <v>70</v>
      </c>
      <c r="B12" s="12"/>
      <c r="C12" s="13"/>
      <c r="D12" s="44"/>
      <c r="E12" s="46"/>
      <c r="F12" s="12"/>
      <c r="G12" s="18"/>
      <c r="H12" s="44"/>
      <c r="I12" s="46"/>
      <c r="J12" s="44"/>
      <c r="K12" s="47"/>
      <c r="L12" s="44"/>
      <c r="M12" s="47"/>
      <c r="N12" s="19"/>
      <c r="O12" s="11"/>
    </row>
    <row r="13" spans="1:15" s="10" customFormat="1" ht="13" x14ac:dyDescent="0.3">
      <c r="A13" s="55" t="s">
        <v>11</v>
      </c>
      <c r="B13" s="73">
        <f>649401.44</f>
        <v>649401.43999999994</v>
      </c>
      <c r="C13" s="48">
        <f>IF($B$23=0,"-",B13/$B$23)</f>
        <v>0.47460552541046525</v>
      </c>
      <c r="D13" s="67">
        <v>929073.95</v>
      </c>
      <c r="E13" s="49">
        <f>IF($D$23=0,"-",D13/$D$23)</f>
        <v>0.50053661443143282</v>
      </c>
      <c r="F13" s="67">
        <f>1301532.69</f>
        <v>1301532.69</v>
      </c>
      <c r="G13" s="49">
        <f>IF($F$23=0,"-",F13/$F$23)</f>
        <v>0.51055680204823251</v>
      </c>
      <c r="H13" s="67">
        <v>1690318.88</v>
      </c>
      <c r="I13" s="49">
        <f>IF($H$23=0,"-",H13/$H$23)</f>
        <v>0.53380082010949703</v>
      </c>
      <c r="J13" s="67">
        <v>1478714.78</v>
      </c>
      <c r="K13" s="48">
        <f>IF($J$23=0,"-",J13/$J$23)</f>
        <v>0.42159680959753337</v>
      </c>
      <c r="L13" s="67">
        <v>1733167.65</v>
      </c>
      <c r="M13" s="48">
        <f>IF($L$23=0,"-",L13/$L$23)</f>
        <v>0.43789551682630529</v>
      </c>
      <c r="N13" s="19"/>
      <c r="O13" s="11"/>
    </row>
    <row r="14" spans="1:15" s="10" customFormat="1" ht="13.5" thickBot="1" x14ac:dyDescent="0.35">
      <c r="A14" s="54" t="s">
        <v>12</v>
      </c>
      <c r="B14" s="67">
        <f>3720.26+44437.22</f>
        <v>48157.48</v>
      </c>
      <c r="C14" s="48">
        <f>IF($B$23=0,"-",B14/$B$23)</f>
        <v>3.5195188507503118E-2</v>
      </c>
      <c r="D14" s="67">
        <f>4874.18+40222.25</f>
        <v>45096.43</v>
      </c>
      <c r="E14" s="49">
        <f>IF($D$23=0,"-",D14/$D$23)</f>
        <v>2.4295605742841141E-2</v>
      </c>
      <c r="F14" s="67">
        <f>24297.19+31038.95</f>
        <v>55336.14</v>
      </c>
      <c r="G14" s="49">
        <f>IF($F$23=0,"-",F14/$F$23)</f>
        <v>2.1706902095631024E-2</v>
      </c>
      <c r="H14" s="67">
        <f>27641.82+31801.27</f>
        <v>59443.09</v>
      </c>
      <c r="I14" s="49">
        <f>IF($H$23=0,"-",H14/$H$23)</f>
        <v>1.8772061631260158E-2</v>
      </c>
      <c r="J14" s="67">
        <f>30247.97+32796.05</f>
        <v>63044.020000000004</v>
      </c>
      <c r="K14" s="48">
        <f>IF($J$23=0,"-",J14/$J$23)</f>
        <v>1.7974499244677249E-2</v>
      </c>
      <c r="L14" s="67">
        <f>43262.99+44820.99</f>
        <v>88083.98</v>
      </c>
      <c r="M14" s="48">
        <f>IF($L$23=0,"-",L14/$L$23)</f>
        <v>2.2254961859124209E-2</v>
      </c>
      <c r="N14" s="19"/>
      <c r="O14" s="11"/>
    </row>
    <row r="15" spans="1:15" s="10" customFormat="1" ht="13.5" thickTop="1" x14ac:dyDescent="0.3">
      <c r="A15" s="74" t="s">
        <v>69</v>
      </c>
      <c r="B15" s="75">
        <f>SUM(B13:B14)</f>
        <v>697558.91999999993</v>
      </c>
      <c r="C15" s="76">
        <f>IF($B$23=0,"-",B15/$B$23)</f>
        <v>0.50980071391796833</v>
      </c>
      <c r="D15" s="75">
        <f>SUM(D13:D14)</f>
        <v>974170.38</v>
      </c>
      <c r="E15" s="77">
        <f>IF($D$23=0,"-",D15/$D$23)</f>
        <v>0.524832220174274</v>
      </c>
      <c r="F15" s="75">
        <f>SUM(F13:F14)</f>
        <v>1356868.8299999998</v>
      </c>
      <c r="G15" s="77">
        <f>IF($F$23=0,"-",F15/$F$23)</f>
        <v>0.53226370414386359</v>
      </c>
      <c r="H15" s="75">
        <f>SUM(H13:H14)</f>
        <v>1749761.97</v>
      </c>
      <c r="I15" s="77">
        <f>IF($H$23=0,"-",H15/$H$23)</f>
        <v>0.55257288174075725</v>
      </c>
      <c r="J15" s="75">
        <f>SUM(J13:J14)</f>
        <v>1541758.8</v>
      </c>
      <c r="K15" s="76">
        <f>IF($J$23=0,"-",J15/$J$23)</f>
        <v>0.43957130884221063</v>
      </c>
      <c r="L15" s="75">
        <f>SUM(L13:L14)</f>
        <v>1821251.63</v>
      </c>
      <c r="M15" s="76">
        <f>IF($L$23=0,"-",L15/$L$23)</f>
        <v>0.46015047868542946</v>
      </c>
      <c r="N15" s="19"/>
      <c r="O15" s="11"/>
    </row>
    <row r="16" spans="1:15" s="10" customFormat="1" ht="13" x14ac:dyDescent="0.3">
      <c r="A16" s="53"/>
      <c r="B16" s="44"/>
      <c r="C16" s="45"/>
      <c r="D16" s="44"/>
      <c r="E16" s="46"/>
      <c r="F16" s="44"/>
      <c r="G16" s="46"/>
      <c r="H16" s="44"/>
      <c r="I16" s="46"/>
      <c r="J16" s="44"/>
      <c r="K16" s="47"/>
      <c r="L16" s="44"/>
      <c r="M16" s="47"/>
      <c r="N16" s="19"/>
      <c r="O16" s="11"/>
    </row>
    <row r="17" spans="1:15" s="10" customFormat="1" ht="13" x14ac:dyDescent="0.3">
      <c r="A17" s="13" t="s">
        <v>71</v>
      </c>
      <c r="B17" s="12"/>
      <c r="C17" s="13"/>
      <c r="D17" s="20"/>
      <c r="E17" s="21"/>
      <c r="F17" s="12"/>
      <c r="G17" s="18"/>
      <c r="H17" s="20"/>
      <c r="I17" s="21"/>
      <c r="J17" s="20"/>
      <c r="K17" s="38"/>
      <c r="L17" s="20"/>
      <c r="M17" s="38"/>
      <c r="N17" s="19"/>
      <c r="O17" s="11"/>
    </row>
    <row r="18" spans="1:15" s="10" customFormat="1" ht="13" x14ac:dyDescent="0.3">
      <c r="A18" s="57" t="s">
        <v>13</v>
      </c>
      <c r="B18" s="73">
        <v>67655.8</v>
      </c>
      <c r="C18" s="48">
        <f t="shared" ref="C18:C21" si="0">IF($B$23=0,"-",B18/$B$23)</f>
        <v>4.9445249930559682E-2</v>
      </c>
      <c r="D18" s="67">
        <v>144913.51</v>
      </c>
      <c r="E18" s="49">
        <f t="shared" ref="E18:E23" si="1">IF($D$23=0,"-",D18/$D$23)</f>
        <v>7.8071845282903035E-2</v>
      </c>
      <c r="F18" s="67">
        <f>130124.23</f>
        <v>130124.23</v>
      </c>
      <c r="G18" s="49">
        <f t="shared" ref="G18:G23" si="2">IF($F$23=0,"-",F18/$F$23)</f>
        <v>5.1044288974246725E-2</v>
      </c>
      <c r="H18" s="67">
        <v>124428.36</v>
      </c>
      <c r="I18" s="49">
        <f>IF($H$23=0,"-",H18/$H$23)</f>
        <v>3.9294337535222788E-2</v>
      </c>
      <c r="J18" s="67">
        <v>487098.39</v>
      </c>
      <c r="K18" s="48">
        <f t="shared" ref="K18:K23" si="3">IF($J$23=0,"-",J18/$J$23)</f>
        <v>0.13887676647425884</v>
      </c>
      <c r="L18" s="67">
        <v>434689.28000000003</v>
      </c>
      <c r="M18" s="48">
        <f t="shared" ref="M18:M23" si="4">IF($L$23=0,"-",L18/$L$23)</f>
        <v>0.10982693274043889</v>
      </c>
      <c r="N18" s="19"/>
      <c r="O18" s="11"/>
    </row>
    <row r="19" spans="1:15" s="10" customFormat="1" ht="13" x14ac:dyDescent="0.3">
      <c r="A19" s="56" t="s">
        <v>14</v>
      </c>
      <c r="B19" s="67">
        <v>28553.37</v>
      </c>
      <c r="C19" s="48">
        <f t="shared" si="0"/>
        <v>2.086781201330477E-2</v>
      </c>
      <c r="D19" s="67">
        <v>37653.68</v>
      </c>
      <c r="E19" s="49">
        <f t="shared" si="1"/>
        <v>2.0285840010996491E-2</v>
      </c>
      <c r="F19" s="67">
        <v>47884.32</v>
      </c>
      <c r="G19" s="49">
        <f t="shared" si="2"/>
        <v>1.8783750477642035E-2</v>
      </c>
      <c r="H19" s="67">
        <v>43785.760000000002</v>
      </c>
      <c r="I19" s="49">
        <f>IF($H$23=0,"-",H19/$H$23)</f>
        <v>1.382749425192341E-2</v>
      </c>
      <c r="J19" s="67">
        <v>47790.43</v>
      </c>
      <c r="K19" s="48">
        <f t="shared" si="3"/>
        <v>1.3625543674686368E-2</v>
      </c>
      <c r="L19" s="67">
        <v>47883.6</v>
      </c>
      <c r="M19" s="48">
        <f t="shared" si="4"/>
        <v>1.2098087435167666E-2</v>
      </c>
      <c r="N19" s="19"/>
      <c r="O19" s="11"/>
    </row>
    <row r="20" spans="1:15" s="10" customFormat="1" ht="13.5" thickBot="1" x14ac:dyDescent="0.35">
      <c r="A20" s="23" t="s">
        <v>15</v>
      </c>
      <c r="B20" s="67">
        <f>289077.88+36441.87</f>
        <v>325519.75</v>
      </c>
      <c r="C20" s="48">
        <f t="shared" si="0"/>
        <v>0.23790133877780328</v>
      </c>
      <c r="D20" s="67">
        <f>362989.85+41327.34</f>
        <v>404317.18999999994</v>
      </c>
      <c r="E20" s="49">
        <f t="shared" si="1"/>
        <v>0.21782502613385119</v>
      </c>
      <c r="F20" s="67">
        <f>503721.46+65184.98</f>
        <v>568906.44000000006</v>
      </c>
      <c r="G20" s="49">
        <f t="shared" si="2"/>
        <v>0.22316692842424476</v>
      </c>
      <c r="H20" s="67">
        <f>649114.91+90059.68</f>
        <v>739174.59000000008</v>
      </c>
      <c r="I20" s="49">
        <f>IF($H$45=0,"-",H20/$H$45)</f>
        <v>0.2334305124404108</v>
      </c>
      <c r="J20" s="67">
        <f>748764.2+115061.82</f>
        <v>863826.02</v>
      </c>
      <c r="K20" s="48">
        <f t="shared" si="3"/>
        <v>0.24628569282261115</v>
      </c>
      <c r="L20" s="67">
        <f>894622.42+150690.26</f>
        <v>1045312.68</v>
      </c>
      <c r="M20" s="48">
        <f t="shared" si="4"/>
        <v>0.26410470807811948</v>
      </c>
      <c r="N20" s="19"/>
      <c r="O20" s="11"/>
    </row>
    <row r="21" spans="1:15" s="10" customFormat="1" ht="13.5" thickTop="1" x14ac:dyDescent="0.3">
      <c r="A21" s="74" t="s">
        <v>72</v>
      </c>
      <c r="B21" s="75">
        <f>SUM(B18:B20)</f>
        <v>421728.92</v>
      </c>
      <c r="C21" s="76">
        <f t="shared" si="0"/>
        <v>0.30821440072166773</v>
      </c>
      <c r="D21" s="75">
        <f>SUM(D18:D20)</f>
        <v>586884.37999999989</v>
      </c>
      <c r="E21" s="77">
        <f t="shared" si="1"/>
        <v>0.31618271142775067</v>
      </c>
      <c r="F21" s="75">
        <f>SUM(F18:F20)</f>
        <v>746914.99</v>
      </c>
      <c r="G21" s="77">
        <f t="shared" si="2"/>
        <v>0.29299496787613349</v>
      </c>
      <c r="H21" s="75">
        <f>SUM(H18:H20)</f>
        <v>907388.71000000008</v>
      </c>
      <c r="I21" s="77">
        <f>IF($H$45=0,"-",H21/$H$45)</f>
        <v>0.28655234422755699</v>
      </c>
      <c r="J21" s="75">
        <f>SUM(J18:J20)</f>
        <v>1398714.84</v>
      </c>
      <c r="K21" s="76">
        <f t="shared" si="3"/>
        <v>0.39878800297155637</v>
      </c>
      <c r="L21" s="75">
        <f>SUM(L18:L20)</f>
        <v>1527885.56</v>
      </c>
      <c r="M21" s="76">
        <f t="shared" si="4"/>
        <v>0.386029728253726</v>
      </c>
      <c r="N21" s="19"/>
      <c r="O21" s="11"/>
    </row>
    <row r="22" spans="1:15" s="10" customFormat="1" ht="13" x14ac:dyDescent="0.3">
      <c r="A22" s="53"/>
      <c r="B22" s="44"/>
      <c r="C22" s="45"/>
      <c r="D22" s="44"/>
      <c r="E22" s="46"/>
      <c r="F22" s="44"/>
      <c r="G22" s="46"/>
      <c r="H22" s="44"/>
      <c r="I22" s="46"/>
      <c r="J22" s="44"/>
      <c r="K22" s="47"/>
      <c r="L22" s="50"/>
      <c r="M22" s="47"/>
      <c r="N22" s="19"/>
      <c r="O22" s="11"/>
    </row>
    <row r="23" spans="1:15" s="10" customFormat="1" ht="13" x14ac:dyDescent="0.3">
      <c r="A23" s="74" t="s">
        <v>68</v>
      </c>
      <c r="B23" s="78">
        <f>B10+B15+B21</f>
        <v>1368297.26</v>
      </c>
      <c r="C23" s="76">
        <f>IF($B$23=0,"-",B23/$B$23)</f>
        <v>1</v>
      </c>
      <c r="D23" s="78">
        <f>D10+D15+D21</f>
        <v>1856155.8199999998</v>
      </c>
      <c r="E23" s="77">
        <f t="shared" si="1"/>
        <v>1</v>
      </c>
      <c r="F23" s="78">
        <f>F10+F15+F21</f>
        <v>2549241.7000000002</v>
      </c>
      <c r="G23" s="77">
        <f t="shared" si="2"/>
        <v>1</v>
      </c>
      <c r="H23" s="78">
        <f>H10+H15+H21</f>
        <v>3166572.28</v>
      </c>
      <c r="I23" s="77">
        <f>IF($H$23=0,"-",H23/$H$23)</f>
        <v>1</v>
      </c>
      <c r="J23" s="78">
        <f>J10+J15+J21</f>
        <v>3507414.54</v>
      </c>
      <c r="K23" s="76">
        <f t="shared" si="3"/>
        <v>1</v>
      </c>
      <c r="L23" s="78">
        <f>L10+L15+L21</f>
        <v>3957947.92</v>
      </c>
      <c r="M23" s="76">
        <f t="shared" si="4"/>
        <v>1</v>
      </c>
      <c r="N23" s="19"/>
      <c r="O23" s="11"/>
    </row>
    <row r="24" spans="1:15" s="10" customFormat="1" ht="13" x14ac:dyDescent="0.3">
      <c r="A24" s="53"/>
      <c r="B24" s="44"/>
      <c r="C24" s="45"/>
      <c r="D24" s="24"/>
      <c r="E24" s="25"/>
      <c r="F24" s="44"/>
      <c r="G24" s="46"/>
      <c r="H24" s="24"/>
      <c r="I24" s="25"/>
      <c r="J24" s="24"/>
      <c r="K24" s="39"/>
      <c r="L24" s="24"/>
      <c r="M24" s="39"/>
      <c r="N24" s="19"/>
      <c r="O24" s="11"/>
    </row>
    <row r="25" spans="1:15" s="10" customFormat="1" x14ac:dyDescent="0.35">
      <c r="A25" s="58" t="s">
        <v>0</v>
      </c>
      <c r="B25" s="26"/>
      <c r="C25" s="26"/>
      <c r="D25" s="26"/>
      <c r="E25" s="27"/>
      <c r="F25" s="26"/>
      <c r="G25" s="27"/>
      <c r="H25" s="28"/>
      <c r="I25" s="29"/>
      <c r="J25" s="28"/>
      <c r="K25" s="40"/>
      <c r="L25" s="28"/>
      <c r="M25" s="40"/>
      <c r="N25" s="19"/>
      <c r="O25" s="11"/>
    </row>
    <row r="26" spans="1:15" s="10" customFormat="1" ht="13" x14ac:dyDescent="0.3">
      <c r="A26" s="22"/>
      <c r="B26" s="20"/>
      <c r="C26" s="22"/>
      <c r="D26" s="26"/>
      <c r="E26" s="27"/>
      <c r="F26" s="20"/>
      <c r="G26" s="21"/>
      <c r="H26" s="26"/>
      <c r="I26" s="27"/>
      <c r="J26" s="44"/>
      <c r="K26" s="47"/>
      <c r="L26" s="44"/>
      <c r="M26" s="47"/>
      <c r="N26" s="19"/>
      <c r="O26" s="11"/>
    </row>
    <row r="27" spans="1:15" s="10" customFormat="1" ht="13" x14ac:dyDescent="0.3">
      <c r="A27" s="22" t="s">
        <v>73</v>
      </c>
      <c r="B27" s="20"/>
      <c r="C27" s="22"/>
      <c r="D27" s="30"/>
      <c r="E27" s="31"/>
      <c r="F27" s="20"/>
      <c r="G27" s="21"/>
      <c r="H27" s="30"/>
      <c r="I27" s="31"/>
      <c r="J27" s="30"/>
      <c r="K27" s="41"/>
      <c r="L27" s="30"/>
      <c r="M27" s="41"/>
      <c r="N27" s="19"/>
      <c r="O27" s="11"/>
    </row>
    <row r="28" spans="1:15" s="10" customFormat="1" ht="13" x14ac:dyDescent="0.3">
      <c r="A28" s="55" t="s">
        <v>6</v>
      </c>
      <c r="B28" s="73">
        <f>7027.47+722</f>
        <v>7749.47</v>
      </c>
      <c r="C28" s="48">
        <f>IF($B$45=0,"-",B28/$B$45)</f>
        <v>5.6635865805943365E-3</v>
      </c>
      <c r="D28" s="67">
        <f>9614.47+182.72</f>
        <v>9797.1899999999987</v>
      </c>
      <c r="E28" s="49">
        <f>IF($D$45=0,"-",D28/$D$45)</f>
        <v>5.2782152739741413E-3</v>
      </c>
      <c r="F28" s="67">
        <f>10409.79+117.57</f>
        <v>10527.36</v>
      </c>
      <c r="G28" s="49">
        <f>IF($F$45=0,"-",F28/$F$45)</f>
        <v>4.1296045016053209E-3</v>
      </c>
      <c r="H28" s="67">
        <f>11436.25+22.99</f>
        <v>11459.24</v>
      </c>
      <c r="I28" s="51">
        <f>IF($H$45=0,"-",H28/$H$45)</f>
        <v>3.6188152319706402E-3</v>
      </c>
      <c r="J28" s="67">
        <f>10507.74+31.54</f>
        <v>10539.28</v>
      </c>
      <c r="K28" s="52">
        <f>IF($J$45=0,"-",J28/$J$45)</f>
        <v>3.0048572473557688E-3</v>
      </c>
      <c r="L28" s="67">
        <f>10791.91+1.85</f>
        <v>10793.76</v>
      </c>
      <c r="M28" s="52">
        <f>IF($L$45=0,"-",L28/$L$45)</f>
        <v>2.727110163693109E-3</v>
      </c>
      <c r="N28" s="33"/>
      <c r="O28" s="11"/>
    </row>
    <row r="29" spans="1:15" s="10" customFormat="1" ht="13.5" thickBot="1" x14ac:dyDescent="0.35">
      <c r="A29" s="59" t="s">
        <v>7</v>
      </c>
      <c r="B29" s="67">
        <v>147.38999999999999</v>
      </c>
      <c r="C29" s="48">
        <f>IF($B$45=0,"-",B29/$B$45)</f>
        <v>1.0771782149150835E-4</v>
      </c>
      <c r="D29" s="67">
        <v>95.11</v>
      </c>
      <c r="E29" s="49">
        <f>IF($D$45=0,"-",D29/$D$45)</f>
        <v>5.1240310201974307E-5</v>
      </c>
      <c r="F29" s="67">
        <v>150.32</v>
      </c>
      <c r="G29" s="49">
        <f>IF($F$45=0,"-",F29/$F$45)</f>
        <v>5.8966554642504089E-5</v>
      </c>
      <c r="H29" s="67">
        <v>494.1</v>
      </c>
      <c r="I29" s="51">
        <f>IF($H$45=0,"-",H29/$H$45)</f>
        <v>1.5603622981250881E-4</v>
      </c>
      <c r="J29" s="67">
        <v>466.04</v>
      </c>
      <c r="K29" s="52">
        <f>IF($J$45=0,"-",J29/$J$45)</f>
        <v>1.3287280265423089E-4</v>
      </c>
      <c r="L29" s="67">
        <v>555.29999999999995</v>
      </c>
      <c r="M29" s="52">
        <f>IF($L$45=0,"-",L29/$L$45)</f>
        <v>1.4029997645850781E-4</v>
      </c>
      <c r="N29" s="33"/>
      <c r="O29" s="11"/>
    </row>
    <row r="30" spans="1:15" s="10" customFormat="1" ht="13.5" thickTop="1" x14ac:dyDescent="0.3">
      <c r="A30" s="74" t="s">
        <v>74</v>
      </c>
      <c r="B30" s="75">
        <f>SUM(B28:B29)</f>
        <v>7896.8600000000006</v>
      </c>
      <c r="C30" s="76">
        <f>IF($B$45=0,"-",B30/$B$45)</f>
        <v>5.7713044020858452E-3</v>
      </c>
      <c r="D30" s="75">
        <f>SUM(D28:D29)</f>
        <v>9892.2999999999993</v>
      </c>
      <c r="E30" s="77">
        <f>IF($D$45=0,"-",D30/$D$45)</f>
        <v>5.3294555841761158E-3</v>
      </c>
      <c r="F30" s="75">
        <f>SUM(F28:F29)</f>
        <v>10677.68</v>
      </c>
      <c r="G30" s="77">
        <f>IF($F$45=0,"-",F30/$F$45)</f>
        <v>4.1885710562478253E-3</v>
      </c>
      <c r="H30" s="75">
        <f>SUM(H28:H29)</f>
        <v>11953.34</v>
      </c>
      <c r="I30" s="79">
        <f>IF($H$45=0,"-",H30/$H$45)</f>
        <v>3.7748514617831491E-3</v>
      </c>
      <c r="J30" s="75">
        <f>SUM(J28:J29)</f>
        <v>11005.320000000002</v>
      </c>
      <c r="K30" s="80">
        <f>IF($J$45=0,"-",J30/$J$45)</f>
        <v>3.1377300500100001E-3</v>
      </c>
      <c r="L30" s="75">
        <f>SUM(L28:L29)</f>
        <v>11349.06</v>
      </c>
      <c r="M30" s="80">
        <f>IF($L$45=0,"-",L30/$L$45)</f>
        <v>2.8674101401516168E-3</v>
      </c>
      <c r="N30" s="33"/>
      <c r="O30" s="11"/>
    </row>
    <row r="31" spans="1:15" s="10" customFormat="1" ht="13" x14ac:dyDescent="0.3">
      <c r="A31" s="53"/>
      <c r="B31" s="44"/>
      <c r="C31" s="45"/>
      <c r="D31" s="44"/>
      <c r="E31" s="46"/>
      <c r="F31" s="44"/>
      <c r="G31" s="46"/>
      <c r="H31" s="44"/>
      <c r="I31" s="46"/>
      <c r="J31" s="44"/>
      <c r="K31" s="47"/>
      <c r="L31" s="44"/>
      <c r="M31" s="47"/>
      <c r="O31" s="11"/>
    </row>
    <row r="32" spans="1:15" s="10" customFormat="1" ht="13" x14ac:dyDescent="0.3">
      <c r="A32" s="22" t="s">
        <v>75</v>
      </c>
      <c r="B32" s="20"/>
      <c r="C32" s="22"/>
      <c r="D32" s="30"/>
      <c r="E32" s="31"/>
      <c r="F32" s="20"/>
      <c r="G32" s="21"/>
      <c r="H32" s="30"/>
      <c r="I32" s="31"/>
      <c r="J32" s="30"/>
      <c r="K32" s="41"/>
      <c r="L32" s="30"/>
      <c r="M32" s="41"/>
      <c r="O32" s="11"/>
    </row>
    <row r="33" spans="1:16" s="10" customFormat="1" ht="13" x14ac:dyDescent="0.3">
      <c r="A33" s="55" t="s">
        <v>9</v>
      </c>
      <c r="B33" s="73">
        <v>14297.67</v>
      </c>
      <c r="C33" s="48">
        <f>IF($B$45=0,"-",B33/$B$45)</f>
        <v>1.0449242586366064E-2</v>
      </c>
      <c r="D33" s="67">
        <v>21313.040000000001</v>
      </c>
      <c r="E33" s="49">
        <f>IF($D$45=0,"-",D33/$D$45)</f>
        <v>1.1482354967375529E-2</v>
      </c>
      <c r="F33" s="67">
        <v>34511.43</v>
      </c>
      <c r="G33" s="49">
        <f>IF($F$45=0,"-",F33/$F$45)</f>
        <v>1.3537919923403106E-2</v>
      </c>
      <c r="H33" s="67">
        <v>52627.59</v>
      </c>
      <c r="I33" s="51">
        <f>IF($H$45=0,"-",H33/$H$45)</f>
        <v>1.6619734320417912E-2</v>
      </c>
      <c r="J33" s="67">
        <v>75992</v>
      </c>
      <c r="K33" s="52">
        <f>IF($J$45=0,"-",J33/$J$45)</f>
        <v>2.1666101663591779E-2</v>
      </c>
      <c r="L33" s="67">
        <v>99233.39</v>
      </c>
      <c r="M33" s="52">
        <f>IF($L$45=0,"-",L33/$L$45)</f>
        <v>2.5071929193045066E-2</v>
      </c>
      <c r="O33" s="11"/>
    </row>
    <row r="34" spans="1:16" s="10" customFormat="1" ht="13" x14ac:dyDescent="0.3">
      <c r="A34" s="54" t="s">
        <v>1</v>
      </c>
      <c r="B34" s="67">
        <f>21672.96+631214.32</f>
        <v>652887.27999999991</v>
      </c>
      <c r="C34" s="48">
        <f>IF($B$45=0,"-",B34/$B$45)</f>
        <v>0.47715310048928983</v>
      </c>
      <c r="D34" s="67">
        <f>20121.03+921056.92</f>
        <v>941177.95000000007</v>
      </c>
      <c r="E34" s="49">
        <f>IF($D$45=0,"-",D34/$D$45)</f>
        <v>0.50705761868634491</v>
      </c>
      <c r="F34" s="67">
        <f>23820.72+1291978.98+17056.5</f>
        <v>1332856.2</v>
      </c>
      <c r="G34" s="49">
        <f>IF($F$45=0,"-",F34/$F$45)</f>
        <v>0.52284418539050259</v>
      </c>
      <c r="H34" s="67">
        <f>31506.64+1577945.52+13593</f>
        <v>1623045.16</v>
      </c>
      <c r="I34" s="51">
        <f>IF($H$45=0,"-",H34/$H$45)</f>
        <v>0.51255585424375649</v>
      </c>
      <c r="J34" s="67">
        <f>41526.17+1700368.74+23203.46</f>
        <v>1765098.3699999999</v>
      </c>
      <c r="K34" s="52">
        <f>IF($J$45=0,"-",J34/$J$45)</f>
        <v>0.50324771990025452</v>
      </c>
      <c r="L34" s="67">
        <f>58527.64+1841719.19+5176.44</f>
        <v>1905423.2699999998</v>
      </c>
      <c r="M34" s="52">
        <f>IF($L$45=0,"-",L34/$L$45)</f>
        <v>0.48141696366737435</v>
      </c>
      <c r="O34" s="11"/>
    </row>
    <row r="35" spans="1:16" s="10" customFormat="1" ht="13" x14ac:dyDescent="0.3">
      <c r="A35" s="81" t="s">
        <v>76</v>
      </c>
      <c r="B35" s="78">
        <f>SUM(B33:B34)</f>
        <v>667184.94999999995</v>
      </c>
      <c r="C35" s="76">
        <f>IF($B$45=0,"-",B35/$B$45)</f>
        <v>0.48760234307565592</v>
      </c>
      <c r="D35" s="78">
        <f>SUM(D33:D34)</f>
        <v>962490.99000000011</v>
      </c>
      <c r="E35" s="77">
        <f>IF($D$45=0,"-",D35/$D$45)</f>
        <v>0.51853997365372051</v>
      </c>
      <c r="F35" s="78">
        <f>SUM(F33:F34)</f>
        <v>1367367.63</v>
      </c>
      <c r="G35" s="77">
        <f>IF($F$45=0,"-",F35/$F$45)</f>
        <v>0.53638210531390573</v>
      </c>
      <c r="H35" s="78">
        <f>SUM(H33:H34)</f>
        <v>1675672.75</v>
      </c>
      <c r="I35" s="77">
        <f>IF($H$45=0,"-",H35/$H$45)</f>
        <v>0.52917558856417446</v>
      </c>
      <c r="J35" s="78">
        <f>SUM(J33:J34)</f>
        <v>1841090.3699999999</v>
      </c>
      <c r="K35" s="80">
        <f>IF($J$45=0,"-",J35/$J$45)</f>
        <v>0.52491382156384625</v>
      </c>
      <c r="L35" s="78">
        <f>SUM(L33:L34)</f>
        <v>2004656.6599999997</v>
      </c>
      <c r="M35" s="80">
        <f>IF($L$45=0,"-",L35/$L$45)</f>
        <v>0.50648889286041943</v>
      </c>
      <c r="O35" s="11"/>
    </row>
    <row r="36" spans="1:16" s="10" customFormat="1" ht="13" x14ac:dyDescent="0.3">
      <c r="A36" s="53"/>
      <c r="B36" s="44"/>
      <c r="C36" s="45"/>
      <c r="D36" s="44"/>
      <c r="E36" s="46"/>
      <c r="F36" s="44"/>
      <c r="G36" s="46"/>
      <c r="H36" s="44"/>
      <c r="I36" s="46"/>
      <c r="J36" s="44"/>
      <c r="K36" s="47"/>
      <c r="L36" s="44"/>
      <c r="M36" s="47"/>
      <c r="O36" s="11"/>
    </row>
    <row r="37" spans="1:16" s="10" customFormat="1" ht="13" x14ac:dyDescent="0.3">
      <c r="A37" s="22" t="s">
        <v>77</v>
      </c>
      <c r="B37" s="20"/>
      <c r="C37" s="22"/>
      <c r="D37" s="30"/>
      <c r="E37" s="31"/>
      <c r="F37" s="20"/>
      <c r="G37" s="21"/>
      <c r="H37" s="30"/>
      <c r="I37" s="31"/>
      <c r="J37" s="44"/>
      <c r="K37" s="47"/>
      <c r="L37" s="44"/>
      <c r="M37" s="47"/>
      <c r="O37" s="11"/>
    </row>
    <row r="38" spans="1:16" s="10" customFormat="1" ht="13" x14ac:dyDescent="0.3">
      <c r="A38" s="55" t="s">
        <v>8</v>
      </c>
      <c r="B38" s="73">
        <v>53157.78</v>
      </c>
      <c r="C38" s="48">
        <f t="shared" ref="C38:C43" si="5">IF($B$45=0,"-",B38/$B$45)</f>
        <v>3.8849584482833793E-2</v>
      </c>
      <c r="D38" s="67">
        <v>28937.55</v>
      </c>
      <c r="E38" s="49">
        <f t="shared" ref="E38:E45" si="6">IF($D$45=0,"-",D38/$D$45)</f>
        <v>1.5590043512618458E-2</v>
      </c>
      <c r="F38" s="67">
        <v>21585.34</v>
      </c>
      <c r="G38" s="49">
        <f t="shared" ref="G38:G45" si="7">IF($F$45=0,"-",F38/$F$45)</f>
        <v>8.4673571752729455E-3</v>
      </c>
      <c r="H38" s="67">
        <v>34289.129999999997</v>
      </c>
      <c r="I38" s="51">
        <f t="shared" ref="I38:I43" si="8">IF($H$45=0,"-",H38/$H$45)</f>
        <v>1.0828469072558165E-2</v>
      </c>
      <c r="J38" s="67">
        <v>9375</v>
      </c>
      <c r="K38" s="52">
        <f t="shared" ref="K38:K43" si="9">IF($J$45=0,"-",J38/$J$45)</f>
        <v>2.6729090311634505E-3</v>
      </c>
      <c r="L38" s="67">
        <v>49100.67</v>
      </c>
      <c r="M38" s="52">
        <f t="shared" ref="M38:M43" si="10">IF($L$45=0,"-",L38/$L$45)</f>
        <v>1.2405587691512626E-2</v>
      </c>
      <c r="O38" s="11"/>
    </row>
    <row r="39" spans="1:16" s="10" customFormat="1" ht="13" x14ac:dyDescent="0.3">
      <c r="A39" s="60" t="s">
        <v>56</v>
      </c>
      <c r="B39" s="67">
        <v>0</v>
      </c>
      <c r="C39" s="48">
        <f t="shared" si="5"/>
        <v>0</v>
      </c>
      <c r="D39" s="67">
        <v>0</v>
      </c>
      <c r="E39" s="49">
        <f t="shared" si="6"/>
        <v>0</v>
      </c>
      <c r="F39" s="67">
        <v>0</v>
      </c>
      <c r="G39" s="49">
        <f t="shared" si="7"/>
        <v>0</v>
      </c>
      <c r="H39" s="67">
        <v>0</v>
      </c>
      <c r="I39" s="51">
        <f t="shared" si="8"/>
        <v>0</v>
      </c>
      <c r="J39" s="67">
        <v>0</v>
      </c>
      <c r="K39" s="52">
        <f t="shared" si="9"/>
        <v>0</v>
      </c>
      <c r="L39" s="67">
        <v>0</v>
      </c>
      <c r="M39" s="52">
        <f t="shared" si="10"/>
        <v>0</v>
      </c>
      <c r="O39" s="11"/>
    </row>
    <row r="40" spans="1:16" s="10" customFormat="1" ht="13" x14ac:dyDescent="0.3">
      <c r="A40" s="35" t="s">
        <v>57</v>
      </c>
      <c r="B40" s="67">
        <v>694.62</v>
      </c>
      <c r="C40" s="48">
        <f t="shared" si="5"/>
        <v>5.0765284730600133E-4</v>
      </c>
      <c r="D40" s="67">
        <v>768.4</v>
      </c>
      <c r="E40" s="49">
        <f t="shared" si="6"/>
        <v>4.1397386562082913E-4</v>
      </c>
      <c r="F40" s="67">
        <v>981.3</v>
      </c>
      <c r="G40" s="49">
        <f t="shared" si="7"/>
        <v>3.8493799940586256E-4</v>
      </c>
      <c r="H40" s="67">
        <v>1435.36</v>
      </c>
      <c r="I40" s="51">
        <f t="shared" si="8"/>
        <v>4.5328508970589478E-4</v>
      </c>
      <c r="J40" s="67">
        <v>567.25</v>
      </c>
      <c r="K40" s="52">
        <f t="shared" si="9"/>
        <v>1.6172881577892985E-4</v>
      </c>
      <c r="L40" s="67">
        <v>511.24</v>
      </c>
      <c r="M40" s="52">
        <f t="shared" si="10"/>
        <v>1.291679451911535E-4</v>
      </c>
      <c r="O40" s="11"/>
    </row>
    <row r="41" spans="1:16" s="10" customFormat="1" ht="13" x14ac:dyDescent="0.3">
      <c r="A41" s="36" t="s">
        <v>17</v>
      </c>
      <c r="B41" s="67">
        <v>29761.99</v>
      </c>
      <c r="C41" s="48">
        <f t="shared" si="5"/>
        <v>2.1751114227912729E-2</v>
      </c>
      <c r="D41" s="67">
        <v>24521.03</v>
      </c>
      <c r="E41" s="49">
        <f t="shared" si="6"/>
        <v>1.3210652756512647E-2</v>
      </c>
      <c r="F41" s="67">
        <v>34542.75</v>
      </c>
      <c r="G41" s="49">
        <f t="shared" si="7"/>
        <v>1.3550205929865342E-2</v>
      </c>
      <c r="H41" s="67">
        <v>55328.88</v>
      </c>
      <c r="I41" s="51">
        <f t="shared" si="8"/>
        <v>1.7472798694492454E-2</v>
      </c>
      <c r="J41" s="67">
        <v>47937.84</v>
      </c>
      <c r="K41" s="52">
        <f t="shared" si="9"/>
        <v>1.366757178351664E-2</v>
      </c>
      <c r="L41" s="67">
        <v>58903.17</v>
      </c>
      <c r="M41" s="52">
        <f t="shared" si="10"/>
        <v>1.4882249890746414E-2</v>
      </c>
      <c r="O41" s="11"/>
    </row>
    <row r="42" spans="1:16" s="10" customFormat="1" ht="13.5" thickBot="1" x14ac:dyDescent="0.35">
      <c r="A42" s="34" t="s">
        <v>43</v>
      </c>
      <c r="B42" s="67">
        <f>609023.63+577.43</f>
        <v>609601.06000000006</v>
      </c>
      <c r="C42" s="48">
        <f t="shared" si="5"/>
        <v>0.44551800096420574</v>
      </c>
      <c r="D42" s="67">
        <f>828791.06+754.49</f>
        <v>829545.55</v>
      </c>
      <c r="E42" s="49">
        <f t="shared" si="6"/>
        <v>0.44691590062735137</v>
      </c>
      <c r="F42" s="67">
        <f>1111860.38+2226.62</f>
        <v>1114087</v>
      </c>
      <c r="G42" s="49">
        <f t="shared" si="7"/>
        <v>0.43702682252530239</v>
      </c>
      <c r="H42" s="67">
        <f>1383752.32+4140.5</f>
        <v>1387892.82</v>
      </c>
      <c r="I42" s="51">
        <f t="shared" si="8"/>
        <v>0.43829500711728581</v>
      </c>
      <c r="J42" s="67">
        <f>1592606.84+4831.92</f>
        <v>1597438.76</v>
      </c>
      <c r="K42" s="52">
        <f t="shared" si="9"/>
        <v>0.45544623875568468</v>
      </c>
      <c r="L42" s="67">
        <f>1824055.67+9371.45</f>
        <v>1833427.1199999999</v>
      </c>
      <c r="M42" s="52">
        <f t="shared" si="10"/>
        <v>0.4632266914719787</v>
      </c>
      <c r="O42" s="11"/>
    </row>
    <row r="43" spans="1:16" s="10" customFormat="1" ht="13.5" thickTop="1" x14ac:dyDescent="0.3">
      <c r="A43" s="74" t="s">
        <v>78</v>
      </c>
      <c r="B43" s="75">
        <f>SUM(B38:B42)</f>
        <v>693215.45000000007</v>
      </c>
      <c r="C43" s="76">
        <f t="shared" si="5"/>
        <v>0.50662635252225829</v>
      </c>
      <c r="D43" s="75">
        <f>SUM(D38:D42)</f>
        <v>883772.53</v>
      </c>
      <c r="E43" s="77">
        <f t="shared" si="6"/>
        <v>0.4761305707621033</v>
      </c>
      <c r="F43" s="75">
        <f>SUM(F38:F42)</f>
        <v>1171196.3899999999</v>
      </c>
      <c r="G43" s="77">
        <f t="shared" si="7"/>
        <v>0.45942932362984651</v>
      </c>
      <c r="H43" s="75">
        <f>SUM(H38:H42)</f>
        <v>1478946.19</v>
      </c>
      <c r="I43" s="79">
        <f t="shared" si="8"/>
        <v>0.46704955997404229</v>
      </c>
      <c r="J43" s="75">
        <f>SUM(J38:J42)</f>
        <v>1655318.85</v>
      </c>
      <c r="K43" s="80">
        <f t="shared" si="9"/>
        <v>0.47194844838614375</v>
      </c>
      <c r="L43" s="75">
        <f>SUM(L38:L42)</f>
        <v>1941942.2</v>
      </c>
      <c r="M43" s="80">
        <f t="shared" si="10"/>
        <v>0.49064369699942895</v>
      </c>
      <c r="O43" s="11"/>
    </row>
    <row r="44" spans="1:16" s="10" customFormat="1" ht="13" x14ac:dyDescent="0.3">
      <c r="A44" s="32"/>
      <c r="B44" s="30"/>
      <c r="C44" s="32"/>
      <c r="D44" s="30"/>
      <c r="E44" s="31"/>
      <c r="F44" s="30"/>
      <c r="G44" s="31"/>
      <c r="H44" s="30"/>
      <c r="I44" s="31"/>
      <c r="J44" s="30"/>
      <c r="K44" s="41"/>
      <c r="L44" s="30"/>
      <c r="M44" s="41"/>
      <c r="O44" s="11"/>
    </row>
    <row r="45" spans="1:16" s="10" customFormat="1" ht="13" x14ac:dyDescent="0.3">
      <c r="A45" s="81" t="s">
        <v>67</v>
      </c>
      <c r="B45" s="78">
        <f>B43+B30+B35</f>
        <v>1368297.26</v>
      </c>
      <c r="C45" s="76">
        <f>IF($B$45=0,"-",B45/$B$45)</f>
        <v>1</v>
      </c>
      <c r="D45" s="78">
        <f>D43+D30+D35</f>
        <v>1856155.8200000003</v>
      </c>
      <c r="E45" s="77">
        <f t="shared" si="6"/>
        <v>1</v>
      </c>
      <c r="F45" s="78">
        <f>F43+F30+F35</f>
        <v>2549241.6999999997</v>
      </c>
      <c r="G45" s="77">
        <f t="shared" si="7"/>
        <v>1</v>
      </c>
      <c r="H45" s="78">
        <f>H43+H30+H35</f>
        <v>3166572.2800000003</v>
      </c>
      <c r="I45" s="77">
        <f>IF($H$45=0,"-",H45/$H$45)</f>
        <v>1</v>
      </c>
      <c r="J45" s="78">
        <f>J43+J30+J35</f>
        <v>3507414.54</v>
      </c>
      <c r="K45" s="80">
        <f>IF($J$45=0,"-",J45/$J$45)</f>
        <v>1</v>
      </c>
      <c r="L45" s="78">
        <f>L43+L30+L35</f>
        <v>3957947.92</v>
      </c>
      <c r="M45" s="80">
        <f>IF($L$45=0,"-",L45/$L$45)</f>
        <v>1</v>
      </c>
      <c r="O45" s="11"/>
    </row>
    <row r="46" spans="1:16" s="10" customFormat="1" ht="13" x14ac:dyDescent="0.3">
      <c r="H46" s="11"/>
      <c r="J46" s="11"/>
      <c r="L46" s="11"/>
    </row>
    <row r="47" spans="1:16" s="10" customFormat="1" x14ac:dyDescent="0.35">
      <c r="B47" s="117">
        <f>B45-B23</f>
        <v>0</v>
      </c>
      <c r="C47" s="116"/>
      <c r="D47" s="117">
        <f>D45-D23</f>
        <v>0</v>
      </c>
      <c r="E47" s="116"/>
      <c r="F47" s="117">
        <f>F45-F23</f>
        <v>0</v>
      </c>
      <c r="G47" s="116"/>
      <c r="H47" s="117">
        <f>H45-H23</f>
        <v>0</v>
      </c>
      <c r="I47" s="116"/>
      <c r="J47" s="117">
        <f>J45-J23</f>
        <v>0</v>
      </c>
      <c r="K47" s="116"/>
      <c r="L47" s="117">
        <f>L45-L23</f>
        <v>0</v>
      </c>
      <c r="P47" s="37"/>
    </row>
  </sheetData>
  <sheetProtection sheet="1" objects="1" scenarios="1"/>
  <mergeCells count="7">
    <mergeCell ref="L3:M3"/>
    <mergeCell ref="J3:K3"/>
    <mergeCell ref="H3:I3"/>
    <mergeCell ref="A1:I1"/>
    <mergeCell ref="B3:C3"/>
    <mergeCell ref="F3:G3"/>
    <mergeCell ref="D3:E3"/>
  </mergeCells>
  <conditionalFormatting sqref="L47">
    <cfRule type="cellIs" dxfId="6" priority="8" operator="notEqual">
      <formula>0</formula>
    </cfRule>
  </conditionalFormatting>
  <conditionalFormatting sqref="J47">
    <cfRule type="cellIs" dxfId="5" priority="7" operator="notEqual">
      <formula>0</formula>
    </cfRule>
  </conditionalFormatting>
  <conditionalFormatting sqref="H47">
    <cfRule type="cellIs" dxfId="4" priority="6" operator="notEqual">
      <formula>0</formula>
    </cfRule>
  </conditionalFormatting>
  <conditionalFormatting sqref="F47">
    <cfRule type="cellIs" dxfId="3" priority="5" operator="notEqual">
      <formula>0</formula>
    </cfRule>
  </conditionalFormatting>
  <conditionalFormatting sqref="D47">
    <cfRule type="cellIs" dxfId="2" priority="4" operator="notEqual">
      <formula>0</formula>
    </cfRule>
  </conditionalFormatting>
  <conditionalFormatting sqref="P47">
    <cfRule type="cellIs" dxfId="1" priority="2" operator="notEqual">
      <formula>0</formula>
    </cfRule>
  </conditionalFormatting>
  <conditionalFormatting sqref="B47">
    <cfRule type="cellIs" dxfId="0" priority="1" operator="notEqual">
      <formula>0</formula>
    </cfRule>
  </conditionalFormatting>
  <pageMargins left="0.7" right="0.7" top="0.75" bottom="0.75" header="0.3" footer="0.3"/>
  <pageSetup paperSize="7" orientation="landscape" r:id="rId1"/>
  <ignoredErrors>
    <ignoredError sqref="K28:K29 K18:K20 K13:K14 K10 J1:K2 K33:K34 K38:K42 J5:K7 J43:K1048576 J11:K12 J15:K15 J21:K23 J30:K30 J35:K35 A41:A42 I38:I42 I33:I34 I35 I28:I29 I30 I18:I20 I21:I23 G47 F48:G1048576 G18:G21 G23 G13:G15 I13:I14 I15 G33:G35 G38:G43 G28:G30 A2:A7 H1 H46:I1048576 F5:I7 H2:I2 F1:G1 F2:G2 I1 I10 F46:G46 B5:E7 C47 B46:E46 A40 C33:C35 C13 C10 B1:E1 B2:E2 C4 C38 C30 C21 C15 C23 B48:E1048576 C42 C18 E18 C19 E19 C20 E20 C28 E28 C29 E29 E30 E35 C43 E43 C45 E45 E38 A39 E39 E40 C41 E41 E42 C39 C40 E47:F47 E10 C14 E14 E13 G10 E33 E34 E21 E15 E23 I11:I12 I43 K31:K32 G45 I45 A46:A1048576 A24:A26 A11 A16 A13:A14 A18:A20 A22 A28:A29 A31 A33:A34 A36 A38 A44 K3 I3 G3 C3 E3 J16:K17 J36:K37 I36:I37 J24:K2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pane xSplit="1" ySplit="4" topLeftCell="B13" activePane="bottomRight" state="frozen"/>
      <selection pane="topRight" activeCell="B1" sqref="B1"/>
      <selection pane="bottomLeft" activeCell="A5" sqref="A5"/>
      <selection pane="bottomRight" activeCell="B14" sqref="B14"/>
    </sheetView>
  </sheetViews>
  <sheetFormatPr defaultColWidth="9.1796875" defaultRowHeight="14.5" x14ac:dyDescent="0.35"/>
  <cols>
    <col min="1" max="1" width="45.81640625" style="1" customWidth="1"/>
    <col min="2" max="2" width="13.26953125" style="1" customWidth="1"/>
    <col min="3" max="3" width="10.7265625" style="1" customWidth="1"/>
    <col min="4" max="4" width="13.26953125" style="1" customWidth="1"/>
    <col min="5" max="5" width="10.7265625" style="1" customWidth="1"/>
    <col min="6" max="6" width="13.26953125" style="1" customWidth="1"/>
    <col min="7" max="7" width="10.7265625" style="1" customWidth="1"/>
    <col min="8" max="8" width="11.7265625" style="1" customWidth="1"/>
    <col min="9" max="9" width="10.7265625" style="1" customWidth="1"/>
    <col min="10" max="10" width="11.54296875" style="1" customWidth="1"/>
    <col min="11" max="11" width="10.7265625" style="1" customWidth="1"/>
    <col min="12" max="12" width="11.54296875" style="1" customWidth="1"/>
    <col min="13" max="13" width="10.7265625" style="1" customWidth="1"/>
    <col min="14" max="14" width="9.1796875" style="1"/>
    <col min="15" max="15" width="16.26953125" style="1" bestFit="1" customWidth="1"/>
    <col min="16" max="16384" width="9.1796875" style="1"/>
  </cols>
  <sheetData>
    <row r="1" spans="1:15" ht="18.5" x14ac:dyDescent="0.45">
      <c r="A1" s="124" t="str">
        <f>BS!A1</f>
        <v>XYZ Financial Services Limited</v>
      </c>
      <c r="B1" s="124"/>
      <c r="C1" s="124"/>
      <c r="D1" s="124"/>
      <c r="E1" s="124"/>
      <c r="F1" s="124"/>
      <c r="G1" s="124"/>
      <c r="H1" s="124"/>
      <c r="I1" s="124"/>
    </row>
    <row r="2" spans="1:15" ht="18.5" x14ac:dyDescent="0.45">
      <c r="A2" s="114" t="s">
        <v>18</v>
      </c>
      <c r="B2" s="2"/>
      <c r="C2" s="2"/>
      <c r="D2" s="2"/>
      <c r="E2" s="2"/>
      <c r="F2" s="2"/>
      <c r="G2" s="2"/>
      <c r="H2" s="3"/>
      <c r="I2" s="3"/>
      <c r="J2" s="3"/>
      <c r="K2" s="3"/>
      <c r="L2" s="3"/>
      <c r="M2" s="3"/>
    </row>
    <row r="3" spans="1:15" ht="14.5" customHeight="1" x14ac:dyDescent="0.35">
      <c r="A3" s="4"/>
      <c r="B3" s="118" t="str">
        <f>BS!B3</f>
        <v>2010-11</v>
      </c>
      <c r="C3" s="118"/>
      <c r="D3" s="118" t="str">
        <f>BS!D3</f>
        <v>2011-12</v>
      </c>
      <c r="E3" s="118"/>
      <c r="F3" s="118" t="str">
        <f>BS!F3</f>
        <v>2012-13</v>
      </c>
      <c r="G3" s="118"/>
      <c r="H3" s="118" t="str">
        <f>BS!H3</f>
        <v>2013-14</v>
      </c>
      <c r="I3" s="118"/>
      <c r="J3" s="118" t="str">
        <f>BS!J3</f>
        <v>2014-15</v>
      </c>
      <c r="K3" s="118"/>
      <c r="L3" s="118" t="str">
        <f>BS!L3</f>
        <v>2015-16</v>
      </c>
      <c r="M3" s="118"/>
    </row>
    <row r="4" spans="1:15" x14ac:dyDescent="0.35">
      <c r="A4" s="5"/>
      <c r="B4" s="6" t="s">
        <v>115</v>
      </c>
      <c r="C4" s="82" t="s">
        <v>36</v>
      </c>
      <c r="D4" s="6" t="s">
        <v>115</v>
      </c>
      <c r="E4" s="82" t="s">
        <v>36</v>
      </c>
      <c r="F4" s="6" t="s">
        <v>115</v>
      </c>
      <c r="G4" s="82" t="s">
        <v>36</v>
      </c>
      <c r="H4" s="6" t="s">
        <v>115</v>
      </c>
      <c r="I4" s="82" t="s">
        <v>36</v>
      </c>
      <c r="J4" s="6" t="s">
        <v>115</v>
      </c>
      <c r="K4" s="82" t="s">
        <v>36</v>
      </c>
      <c r="L4" s="6" t="s">
        <v>115</v>
      </c>
      <c r="M4" s="82" t="s">
        <v>36</v>
      </c>
    </row>
    <row r="5" spans="1:15" x14ac:dyDescent="0.35">
      <c r="A5" s="13" t="s">
        <v>19</v>
      </c>
      <c r="B5" s="13"/>
      <c r="C5" s="13"/>
      <c r="D5" s="13"/>
      <c r="E5" s="13"/>
      <c r="F5" s="13"/>
      <c r="G5" s="13"/>
      <c r="H5" s="10"/>
      <c r="I5" s="10"/>
      <c r="J5" s="10"/>
      <c r="K5" s="10"/>
      <c r="L5" s="10"/>
      <c r="M5" s="10"/>
    </row>
    <row r="6" spans="1:15" x14ac:dyDescent="0.35">
      <c r="A6" s="55" t="s">
        <v>20</v>
      </c>
      <c r="B6" s="73">
        <v>196435.45</v>
      </c>
      <c r="C6" s="43">
        <f>IF($B$8=0,"-",B6/$B$8)</f>
        <v>0.99334829593382745</v>
      </c>
      <c r="D6" s="67">
        <v>276770.07</v>
      </c>
      <c r="E6" s="43">
        <f>IF($D$8=0,"-",D6/$D$8)</f>
        <v>0.99037674097752593</v>
      </c>
      <c r="F6" s="67">
        <v>385672.15</v>
      </c>
      <c r="G6" s="43">
        <f>IF($F$8=0,"-",F6/$F$8)</f>
        <v>0.99024892552672239</v>
      </c>
      <c r="H6" s="67">
        <v>492163.21</v>
      </c>
      <c r="I6" s="43">
        <f>IF($H$8=0,"-",H6/$H$8)</f>
        <v>0.99366598596871858</v>
      </c>
      <c r="J6" s="67">
        <v>553605.61</v>
      </c>
      <c r="K6" s="43">
        <f>IF($J$8=0,"-",J6/$J$8)</f>
        <v>0.99128872674765689</v>
      </c>
      <c r="L6" s="67">
        <v>585316.11</v>
      </c>
      <c r="M6" s="43">
        <f>IF($L$8=0,"-",L6/$L$8)</f>
        <v>0.99120431565898004</v>
      </c>
      <c r="O6" s="9"/>
    </row>
    <row r="7" spans="1:15" ht="15" thickBot="1" x14ac:dyDescent="0.4">
      <c r="A7" s="54" t="s">
        <v>21</v>
      </c>
      <c r="B7" s="67">
        <v>1315.38</v>
      </c>
      <c r="C7" s="43">
        <f t="shared" ref="C7:C8" si="0">IF($B$8=0,"-",B7/$B$8)</f>
        <v>6.651704066172567E-3</v>
      </c>
      <c r="D7" s="67">
        <v>2689.31</v>
      </c>
      <c r="E7" s="43">
        <f t="shared" ref="E7:E8" si="1">IF($D$8=0,"-",D7/$D$8)</f>
        <v>9.6232590224740351E-3</v>
      </c>
      <c r="F7" s="67">
        <v>3797.75</v>
      </c>
      <c r="G7" s="43">
        <f t="shared" ref="G7:G8" si="2">IF($F$8=0,"-",F7/$F$8)</f>
        <v>9.7510744732776516E-3</v>
      </c>
      <c r="H7" s="67">
        <v>3137.24</v>
      </c>
      <c r="I7" s="43">
        <f>IF($H$8=0,"-",H7/$H$8)</f>
        <v>6.3340140312814165E-3</v>
      </c>
      <c r="J7" s="67">
        <v>4864.99</v>
      </c>
      <c r="K7" s="43">
        <f t="shared" ref="K7:K8" si="3">IF($J$8=0,"-",J7/$J$8)</f>
        <v>8.7112732523430964E-3</v>
      </c>
      <c r="L7" s="67">
        <v>5193.9399999999996</v>
      </c>
      <c r="M7" s="43">
        <f>IF($L$8=0,"-",L7/$L$8)</f>
        <v>8.795684341020106E-3</v>
      </c>
      <c r="O7" s="9"/>
    </row>
    <row r="8" spans="1:15" ht="15" thickTop="1" x14ac:dyDescent="0.35">
      <c r="A8" s="74" t="s">
        <v>22</v>
      </c>
      <c r="B8" s="75">
        <f>SUM(B6:B7)</f>
        <v>197750.83000000002</v>
      </c>
      <c r="C8" s="84">
        <f t="shared" si="0"/>
        <v>1</v>
      </c>
      <c r="D8" s="75">
        <f>SUM(D6:D7)</f>
        <v>279459.38</v>
      </c>
      <c r="E8" s="84">
        <f t="shared" si="1"/>
        <v>1</v>
      </c>
      <c r="F8" s="75">
        <f>SUM(F6:F7)</f>
        <v>389469.9</v>
      </c>
      <c r="G8" s="84">
        <f t="shared" si="2"/>
        <v>1</v>
      </c>
      <c r="H8" s="75">
        <f>SUM(H6:H7)</f>
        <v>495300.45</v>
      </c>
      <c r="I8" s="84">
        <f>IF($H$8=0,"-",H8/$H$8)</f>
        <v>1</v>
      </c>
      <c r="J8" s="75">
        <f>SUM(J6:J7)</f>
        <v>558470.6</v>
      </c>
      <c r="K8" s="84">
        <f t="shared" si="3"/>
        <v>1</v>
      </c>
      <c r="L8" s="75">
        <f>SUM(L6:L7)</f>
        <v>590510.04999999993</v>
      </c>
      <c r="M8" s="84">
        <f>IF($L$8=0,"-",L8/$L$8)</f>
        <v>1</v>
      </c>
      <c r="O8" s="9"/>
    </row>
    <row r="9" spans="1:15" x14ac:dyDescent="0.35">
      <c r="A9" s="53"/>
      <c r="B9" s="44"/>
      <c r="C9" s="45"/>
      <c r="D9" s="44"/>
      <c r="E9" s="45"/>
      <c r="F9" s="44"/>
      <c r="G9" s="45"/>
      <c r="H9" s="44"/>
      <c r="I9" s="45"/>
      <c r="J9" s="44"/>
      <c r="K9" s="45"/>
      <c r="L9" s="44"/>
      <c r="M9" s="45"/>
      <c r="O9" s="9"/>
    </row>
    <row r="10" spans="1:15" x14ac:dyDescent="0.35">
      <c r="A10" s="13" t="s">
        <v>23</v>
      </c>
      <c r="B10" s="12"/>
      <c r="C10" s="13"/>
      <c r="D10" s="44"/>
      <c r="E10" s="45"/>
      <c r="F10" s="12"/>
      <c r="G10" s="13"/>
      <c r="H10" s="44"/>
      <c r="I10" s="45"/>
      <c r="J10" s="44"/>
      <c r="K10" s="45"/>
      <c r="L10" s="44"/>
      <c r="M10" s="45"/>
      <c r="O10" s="9"/>
    </row>
    <row r="11" spans="1:15" x14ac:dyDescent="0.35">
      <c r="A11" s="55" t="s">
        <v>24</v>
      </c>
      <c r="B11" s="73">
        <v>0</v>
      </c>
      <c r="C11" s="43">
        <f t="shared" ref="C11:C18" si="4">IF($B$8=0,"-",B11/$B$8)</f>
        <v>0</v>
      </c>
      <c r="D11" s="67">
        <v>0</v>
      </c>
      <c r="E11" s="43">
        <f t="shared" ref="E11:E18" si="5">IF($D$8=0,"-",D11/$D$8)</f>
        <v>0</v>
      </c>
      <c r="F11" s="67">
        <v>0</v>
      </c>
      <c r="G11" s="43">
        <f t="shared" ref="G11:G18" si="6">IF($F$8=0,"-",F11/$F$8)</f>
        <v>0</v>
      </c>
      <c r="H11" s="67">
        <v>0</v>
      </c>
      <c r="I11" s="43">
        <f>IF($H$8=0,"-",H11/$H$8)</f>
        <v>0</v>
      </c>
      <c r="J11" s="67">
        <v>0</v>
      </c>
      <c r="K11" s="43">
        <f t="shared" ref="K11:K18" si="7">IF($J$8=0,"-",J11/$J$8)</f>
        <v>0</v>
      </c>
      <c r="L11" s="67">
        <v>0</v>
      </c>
      <c r="M11" s="43">
        <f>IF($L$8=0,"-",L11/$L$8)</f>
        <v>0</v>
      </c>
      <c r="O11" s="9"/>
    </row>
    <row r="12" spans="1:15" x14ac:dyDescent="0.35">
      <c r="A12" s="54" t="s">
        <v>25</v>
      </c>
      <c r="B12" s="67">
        <v>15150.49</v>
      </c>
      <c r="C12" s="43">
        <f t="shared" si="4"/>
        <v>7.6614040001753717E-2</v>
      </c>
      <c r="D12" s="67">
        <v>19977.07</v>
      </c>
      <c r="E12" s="43">
        <f t="shared" si="5"/>
        <v>7.1484700209382843E-2</v>
      </c>
      <c r="F12" s="67">
        <v>22340.2</v>
      </c>
      <c r="G12" s="43">
        <f t="shared" si="6"/>
        <v>5.7360530300287649E-2</v>
      </c>
      <c r="H12" s="67">
        <v>29733.41</v>
      </c>
      <c r="I12" s="43">
        <f>IF($H$8=0,"-",H12/$H$8)</f>
        <v>6.003105791646262E-2</v>
      </c>
      <c r="J12" s="67">
        <v>45908.2</v>
      </c>
      <c r="K12" s="43">
        <f t="shared" si="7"/>
        <v>8.2203432015937813E-2</v>
      </c>
      <c r="L12" s="67">
        <v>55880.74</v>
      </c>
      <c r="M12" s="43">
        <f>IF($L$8=0,"-",L12/$L$8)</f>
        <v>9.4631310677946973E-2</v>
      </c>
      <c r="O12" s="9"/>
    </row>
    <row r="13" spans="1:15" x14ac:dyDescent="0.35">
      <c r="A13" s="8" t="s">
        <v>26</v>
      </c>
      <c r="B13" s="67">
        <v>66020.97</v>
      </c>
      <c r="C13" s="43">
        <f t="shared" si="4"/>
        <v>0.3338593825371049</v>
      </c>
      <c r="D13" s="67">
        <v>112032.35</v>
      </c>
      <c r="E13" s="43">
        <f t="shared" si="5"/>
        <v>0.40088956756434513</v>
      </c>
      <c r="F13" s="67">
        <v>161876.5</v>
      </c>
      <c r="G13" s="43">
        <f t="shared" si="6"/>
        <v>0.41563288973037454</v>
      </c>
      <c r="H13" s="67">
        <v>218801.45</v>
      </c>
      <c r="I13" s="43">
        <f>IF($H$8=0,"-",H13/$H$8)</f>
        <v>0.44175499941500157</v>
      </c>
      <c r="J13" s="67">
        <v>249673.13</v>
      </c>
      <c r="K13" s="43">
        <f t="shared" si="7"/>
        <v>0.44706584375256281</v>
      </c>
      <c r="L13" s="67">
        <v>263929.19</v>
      </c>
      <c r="M13" s="43">
        <f t="shared" ref="M13:M18" si="8">IF($L$8=0,"-",L13/$L$8)</f>
        <v>0.44695122462352677</v>
      </c>
      <c r="O13" s="9"/>
    </row>
    <row r="14" spans="1:15" x14ac:dyDescent="0.35">
      <c r="A14" s="8" t="s">
        <v>27</v>
      </c>
      <c r="B14" s="67">
        <v>1578.8</v>
      </c>
      <c r="C14" s="43">
        <f t="shared" si="4"/>
        <v>7.9837844422701032E-3</v>
      </c>
      <c r="D14" s="67">
        <v>1956.32</v>
      </c>
      <c r="E14" s="43">
        <f t="shared" si="5"/>
        <v>7.0003733637425229E-3</v>
      </c>
      <c r="F14" s="67">
        <v>2224.33</v>
      </c>
      <c r="G14" s="43">
        <f t="shared" si="6"/>
        <v>5.7111730585598522E-3</v>
      </c>
      <c r="H14" s="67">
        <v>2429.62</v>
      </c>
      <c r="I14" s="43">
        <f t="shared" ref="I14:I18" si="9">IF($H$8=0,"-",H14/$H$8)</f>
        <v>4.9053458360475942E-3</v>
      </c>
      <c r="J14" s="67">
        <v>4151.63</v>
      </c>
      <c r="K14" s="43">
        <f t="shared" si="7"/>
        <v>7.4339275872355682E-3</v>
      </c>
      <c r="L14" s="67">
        <v>4088.81</v>
      </c>
      <c r="M14" s="43">
        <f t="shared" si="8"/>
        <v>6.924200528001175E-3</v>
      </c>
      <c r="O14" s="9"/>
    </row>
    <row r="15" spans="1:15" ht="15" thickBot="1" x14ac:dyDescent="0.4">
      <c r="A15" s="8" t="s">
        <v>28</v>
      </c>
      <c r="B15" s="67">
        <f>13651.74+31104.01</f>
        <v>44755.75</v>
      </c>
      <c r="C15" s="43">
        <f t="shared" si="4"/>
        <v>0.22632395525217264</v>
      </c>
      <c r="D15" s="67">
        <f>15702+37266.04</f>
        <v>52968.04</v>
      </c>
      <c r="E15" s="43">
        <f t="shared" si="5"/>
        <v>0.18953752777952917</v>
      </c>
      <c r="F15" s="67">
        <f>28334.34+49632.86</f>
        <v>77967.199999999997</v>
      </c>
      <c r="G15" s="43">
        <f t="shared" si="6"/>
        <v>0.20018799912393742</v>
      </c>
      <c r="H15" s="67">
        <f>50578.57+59180.56</f>
        <v>109759.13</v>
      </c>
      <c r="I15" s="43">
        <f t="shared" si="9"/>
        <v>0.22160111100242288</v>
      </c>
      <c r="J15" s="67">
        <f>82748.89+50624.35</f>
        <v>133373.24</v>
      </c>
      <c r="K15" s="43">
        <f t="shared" si="7"/>
        <v>0.23881873101287696</v>
      </c>
      <c r="L15" s="67">
        <f>104952.98+57840.2</f>
        <v>162793.18</v>
      </c>
      <c r="M15" s="43">
        <f t="shared" si="8"/>
        <v>0.27568231903927803</v>
      </c>
      <c r="O15" s="9"/>
    </row>
    <row r="16" spans="1:15" ht="15" thickTop="1" x14ac:dyDescent="0.35">
      <c r="A16" s="74" t="s">
        <v>29</v>
      </c>
      <c r="B16" s="75">
        <f>SUM(B11:B15)</f>
        <v>127506.01000000001</v>
      </c>
      <c r="C16" s="84">
        <f t="shared" si="4"/>
        <v>0.6447811622333014</v>
      </c>
      <c r="D16" s="75">
        <f>SUM(D11:D15)</f>
        <v>186933.78000000003</v>
      </c>
      <c r="E16" s="84">
        <f t="shared" si="5"/>
        <v>0.66891216891699978</v>
      </c>
      <c r="F16" s="75">
        <f>SUM(F11:F15)</f>
        <v>264408.23</v>
      </c>
      <c r="G16" s="84">
        <f t="shared" si="6"/>
        <v>0.67889259221315934</v>
      </c>
      <c r="H16" s="75">
        <f>SUM(H11:H15)</f>
        <v>360723.61</v>
      </c>
      <c r="I16" s="84">
        <f t="shared" si="9"/>
        <v>0.72829251416993457</v>
      </c>
      <c r="J16" s="75">
        <f>SUM(J11:J15)</f>
        <v>433106.2</v>
      </c>
      <c r="K16" s="84">
        <f t="shared" si="7"/>
        <v>0.77552193436861316</v>
      </c>
      <c r="L16" s="75">
        <f>SUM(L11:L15)</f>
        <v>486691.92</v>
      </c>
      <c r="M16" s="84">
        <f t="shared" si="8"/>
        <v>0.82418905486875293</v>
      </c>
      <c r="O16" s="9"/>
    </row>
    <row r="17" spans="1:15" x14ac:dyDescent="0.35">
      <c r="A17" s="53"/>
      <c r="B17" s="44"/>
      <c r="C17" s="45"/>
      <c r="D17" s="44"/>
      <c r="E17" s="45"/>
      <c r="F17" s="44"/>
      <c r="G17" s="45"/>
      <c r="H17" s="44"/>
      <c r="I17" s="45"/>
      <c r="J17" s="44"/>
      <c r="K17" s="45"/>
      <c r="L17" s="44"/>
      <c r="M17" s="45"/>
      <c r="O17" s="9"/>
    </row>
    <row r="18" spans="1:15" x14ac:dyDescent="0.35">
      <c r="A18" s="81" t="s">
        <v>30</v>
      </c>
      <c r="B18" s="78">
        <f>B8-B16</f>
        <v>70244.820000000007</v>
      </c>
      <c r="C18" s="84">
        <f t="shared" si="4"/>
        <v>0.35521883776669866</v>
      </c>
      <c r="D18" s="78">
        <f>D8-D16</f>
        <v>92525.599999999977</v>
      </c>
      <c r="E18" s="84">
        <f t="shared" si="5"/>
        <v>0.33108783108300022</v>
      </c>
      <c r="F18" s="78">
        <f>F8-F16</f>
        <v>125061.67000000004</v>
      </c>
      <c r="G18" s="84">
        <f t="shared" si="6"/>
        <v>0.3211074077868406</v>
      </c>
      <c r="H18" s="78">
        <f>H8-H16</f>
        <v>134576.84000000003</v>
      </c>
      <c r="I18" s="84">
        <f t="shared" si="9"/>
        <v>0.27170748583006543</v>
      </c>
      <c r="J18" s="78">
        <f>J8-J16</f>
        <v>125364.39999999997</v>
      </c>
      <c r="K18" s="84">
        <f t="shared" si="7"/>
        <v>0.22447806563138681</v>
      </c>
      <c r="L18" s="78">
        <f>L8-L16</f>
        <v>103818.12999999995</v>
      </c>
      <c r="M18" s="84">
        <f t="shared" si="8"/>
        <v>0.17581094513124707</v>
      </c>
      <c r="O18" s="9"/>
    </row>
    <row r="19" spans="1:15" x14ac:dyDescent="0.35">
      <c r="A19" s="53"/>
      <c r="B19" s="44"/>
      <c r="C19" s="45"/>
      <c r="D19" s="44"/>
      <c r="E19" s="45"/>
      <c r="F19" s="44"/>
      <c r="G19" s="45"/>
      <c r="H19" s="44"/>
      <c r="I19" s="45"/>
      <c r="J19" s="44"/>
      <c r="K19" s="45"/>
      <c r="L19" s="44"/>
      <c r="M19" s="45"/>
      <c r="O19" s="9"/>
    </row>
    <row r="20" spans="1:15" x14ac:dyDescent="0.35">
      <c r="A20" s="13" t="s">
        <v>31</v>
      </c>
      <c r="B20" s="12"/>
      <c r="C20" s="13"/>
      <c r="D20" s="44"/>
      <c r="E20" s="45"/>
      <c r="F20" s="12"/>
      <c r="G20" s="13"/>
      <c r="H20" s="44"/>
      <c r="I20" s="45"/>
      <c r="J20" s="44"/>
      <c r="K20" s="45"/>
      <c r="L20" s="44"/>
      <c r="M20" s="45"/>
      <c r="O20" s="9"/>
    </row>
    <row r="21" spans="1:15" x14ac:dyDescent="0.35">
      <c r="A21" s="55" t="s">
        <v>32</v>
      </c>
      <c r="B21" s="73">
        <v>0</v>
      </c>
      <c r="C21" s="43">
        <f t="shared" ref="C21:C25" si="10">IF($B$8=0,"-",B21/$B$8)</f>
        <v>0</v>
      </c>
      <c r="D21" s="67">
        <v>0</v>
      </c>
      <c r="E21" s="43">
        <f t="shared" ref="E21:E25" si="11">IF($D$8=0,"-",D21/$D$8)</f>
        <v>0</v>
      </c>
      <c r="F21" s="67">
        <v>-2858.21</v>
      </c>
      <c r="G21" s="43">
        <f t="shared" ref="G21:G25" si="12">IF($F$8=0,"-",F21/$F$8)</f>
        <v>-7.3387186018739831E-3</v>
      </c>
      <c r="H21" s="67">
        <v>0</v>
      </c>
      <c r="I21" s="43">
        <f t="shared" ref="I21:I25" si="13">IF($H$8=0,"-",H21/$H$8)</f>
        <v>0</v>
      </c>
      <c r="J21" s="67">
        <v>0</v>
      </c>
      <c r="K21" s="43">
        <f t="shared" ref="K21:K25" si="14">IF($J$8=0,"-",J21/$J$8)</f>
        <v>0</v>
      </c>
      <c r="L21" s="67">
        <v>0</v>
      </c>
      <c r="M21" s="43">
        <f t="shared" ref="M21:M25" si="15">IF($L$8=0,"-",L21/$L$8)</f>
        <v>0</v>
      </c>
      <c r="O21" s="9"/>
    </row>
    <row r="22" spans="1:15" ht="15" thickBot="1" x14ac:dyDescent="0.4">
      <c r="A22" s="54" t="s">
        <v>33</v>
      </c>
      <c r="B22" s="67">
        <f>24914+-980.1</f>
        <v>23933.9</v>
      </c>
      <c r="C22" s="43">
        <f t="shared" si="10"/>
        <v>0.12103059188171296</v>
      </c>
      <c r="D22" s="67">
        <f>28962+1551.93</f>
        <v>30513.93</v>
      </c>
      <c r="E22" s="43">
        <f t="shared" si="11"/>
        <v>0.10918914226461104</v>
      </c>
      <c r="F22" s="67">
        <f>43350.39+-3699.69</f>
        <v>39650.699999999997</v>
      </c>
      <c r="G22" s="43">
        <f t="shared" si="12"/>
        <v>0.10180684052862621</v>
      </c>
      <c r="H22" s="67">
        <f>53540+-7685.91</f>
        <v>45854.09</v>
      </c>
      <c r="I22" s="43">
        <f t="shared" si="13"/>
        <v>9.2578333009792332E-2</v>
      </c>
      <c r="J22" s="67">
        <f>51995+-9808.19</f>
        <v>42186.81</v>
      </c>
      <c r="K22" s="43">
        <f t="shared" si="14"/>
        <v>7.5539894132296309E-2</v>
      </c>
      <c r="L22" s="67">
        <f>53560+-17001.47</f>
        <v>36558.53</v>
      </c>
      <c r="M22" s="43">
        <f t="shared" si="15"/>
        <v>6.191008942184812E-2</v>
      </c>
      <c r="O22" s="9"/>
    </row>
    <row r="23" spans="1:15" ht="15" thickTop="1" x14ac:dyDescent="0.35">
      <c r="A23" s="74" t="s">
        <v>37</v>
      </c>
      <c r="B23" s="75">
        <f>SUM(B21:B22)</f>
        <v>23933.9</v>
      </c>
      <c r="C23" s="84">
        <f t="shared" si="10"/>
        <v>0.12103059188171296</v>
      </c>
      <c r="D23" s="75">
        <f>SUM(D21:D22)</f>
        <v>30513.93</v>
      </c>
      <c r="E23" s="84">
        <f t="shared" si="11"/>
        <v>0.10918914226461104</v>
      </c>
      <c r="F23" s="75">
        <f>SUM(F21:F22)</f>
        <v>36792.49</v>
      </c>
      <c r="G23" s="84">
        <f t="shared" si="12"/>
        <v>9.4468121926752219E-2</v>
      </c>
      <c r="H23" s="75">
        <f>SUM(H21:H22)</f>
        <v>45854.09</v>
      </c>
      <c r="I23" s="84">
        <f t="shared" si="13"/>
        <v>9.2578333009792332E-2</v>
      </c>
      <c r="J23" s="75">
        <f>SUM(J21:J22)</f>
        <v>42186.81</v>
      </c>
      <c r="K23" s="84">
        <f t="shared" si="14"/>
        <v>7.5539894132296309E-2</v>
      </c>
      <c r="L23" s="75">
        <f>SUM(L21:L22)</f>
        <v>36558.53</v>
      </c>
      <c r="M23" s="84">
        <f t="shared" si="15"/>
        <v>6.191008942184812E-2</v>
      </c>
      <c r="O23" s="9"/>
    </row>
    <row r="24" spans="1:15" x14ac:dyDescent="0.35">
      <c r="A24" s="53"/>
      <c r="B24" s="44"/>
      <c r="C24" s="45"/>
      <c r="D24" s="44"/>
      <c r="E24" s="45"/>
      <c r="F24" s="44"/>
      <c r="G24" s="45"/>
      <c r="H24" s="44"/>
      <c r="I24" s="45"/>
      <c r="J24" s="44"/>
      <c r="K24" s="45"/>
      <c r="L24" s="44"/>
      <c r="M24" s="45"/>
      <c r="O24" s="9"/>
    </row>
    <row r="25" spans="1:15" x14ac:dyDescent="0.35">
      <c r="A25" s="81" t="s">
        <v>34</v>
      </c>
      <c r="B25" s="78">
        <f>B18-B23</f>
        <v>46310.920000000006</v>
      </c>
      <c r="C25" s="84">
        <f t="shared" si="10"/>
        <v>0.23418824588498569</v>
      </c>
      <c r="D25" s="78">
        <f>D18-D23</f>
        <v>62011.669999999976</v>
      </c>
      <c r="E25" s="84">
        <f t="shared" si="11"/>
        <v>0.2218986888183892</v>
      </c>
      <c r="F25" s="78">
        <f>F18-F23</f>
        <v>88269.180000000051</v>
      </c>
      <c r="G25" s="84">
        <f t="shared" si="12"/>
        <v>0.22663928586008841</v>
      </c>
      <c r="H25" s="78">
        <f>H18-H23</f>
        <v>88722.750000000029</v>
      </c>
      <c r="I25" s="84">
        <f t="shared" si="13"/>
        <v>0.17912915282027309</v>
      </c>
      <c r="J25" s="78">
        <f>J18-J23</f>
        <v>83177.589999999967</v>
      </c>
      <c r="K25" s="84">
        <f t="shared" si="14"/>
        <v>0.1489381714990905</v>
      </c>
      <c r="L25" s="78">
        <f>L18-L23</f>
        <v>67259.599999999948</v>
      </c>
      <c r="M25" s="84">
        <f t="shared" si="15"/>
        <v>0.11390085570939894</v>
      </c>
      <c r="O25" s="9"/>
    </row>
    <row r="27" spans="1:15" x14ac:dyDescent="0.35">
      <c r="B27" s="9"/>
    </row>
  </sheetData>
  <sheetProtection sheet="1" objects="1" scenarios="1"/>
  <mergeCells count="7">
    <mergeCell ref="H3:I3"/>
    <mergeCell ref="J3:K3"/>
    <mergeCell ref="L3:M3"/>
    <mergeCell ref="A1:I1"/>
    <mergeCell ref="F3:G3"/>
    <mergeCell ref="D3:E3"/>
    <mergeCell ref="B3:C3"/>
  </mergeCells>
  <pageMargins left="0.7" right="0.7" top="0.75" bottom="0.75" header="0.3" footer="0.3"/>
  <pageSetup orientation="portrait" r:id="rId1"/>
  <ignoredErrors>
    <ignoredError sqref="J2:K2 K6:K7 K11:K15 K21:K22 J1:K1 J5:K5 J8:K8 J16:K18 J23:K1048576 A2:A4 G21:G22 F26:I1048576 I21:I22 G11:G15 G16 I11:I15 G6:G7 G8 I6:I7 F5:I5 F2:G2 F1:I1 H2:I2 B1:E1 B26:E26 B2:E2 B5:E5 C7 C8 C15 C16 C22 C6 E6 E7 C11 E11 C12 E12 C13 E13 C14 E14 E15 C21 E21 E22 C23 E8 E16 E23 G23 I16:I18 I8 I23:I25 G18 C18 E18 C25 E25 G25 B29:E1048576 C27:E27 C28:E28 C3 A5:A8 J9:K10 I9:I10 A9:A18 J19:K20 I19:I20 A19:A104857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6" sqref="A6"/>
    </sheetView>
  </sheetViews>
  <sheetFormatPr defaultRowHeight="14.5" x14ac:dyDescent="0.35"/>
  <cols>
    <col min="1" max="1" width="34.36328125" bestFit="1" customWidth="1"/>
    <col min="2" max="7" width="10.36328125" customWidth="1"/>
  </cols>
  <sheetData>
    <row r="1" spans="1:7" ht="18.5" x14ac:dyDescent="0.45">
      <c r="A1" s="125" t="str">
        <f>'P&amp;L'!A1:I1</f>
        <v>XYZ Financial Services Limited</v>
      </c>
    </row>
    <row r="2" spans="1:7" ht="15.5" x14ac:dyDescent="0.35">
      <c r="A2" s="126" t="s">
        <v>181</v>
      </c>
    </row>
    <row r="5" spans="1:7" x14ac:dyDescent="0.35">
      <c r="B5" s="127" t="s">
        <v>170</v>
      </c>
      <c r="C5" s="127" t="s">
        <v>174</v>
      </c>
      <c r="D5" s="127" t="s">
        <v>173</v>
      </c>
      <c r="E5" s="127" t="s">
        <v>172</v>
      </c>
      <c r="F5" s="127" t="s">
        <v>171</v>
      </c>
      <c r="G5" s="127" t="s">
        <v>3</v>
      </c>
    </row>
    <row r="6" spans="1:7" x14ac:dyDescent="0.35">
      <c r="A6" t="s">
        <v>165</v>
      </c>
      <c r="B6" s="67">
        <v>18103</v>
      </c>
      <c r="C6" s="67">
        <v>6563</v>
      </c>
      <c r="D6" s="67">
        <v>2718</v>
      </c>
      <c r="E6" s="67">
        <v>3579</v>
      </c>
      <c r="F6" s="67">
        <v>10325</v>
      </c>
      <c r="G6" s="67">
        <v>4446</v>
      </c>
    </row>
    <row r="7" spans="1:7" x14ac:dyDescent="0.35">
      <c r="A7" t="s">
        <v>166</v>
      </c>
      <c r="B7" s="67">
        <v>-64073</v>
      </c>
      <c r="C7" s="67">
        <v>-41674</v>
      </c>
      <c r="D7" s="67">
        <v>-61630</v>
      </c>
      <c r="E7" s="67">
        <v>-37952</v>
      </c>
      <c r="F7" s="67">
        <v>-4375</v>
      </c>
      <c r="G7" s="67">
        <v>13281</v>
      </c>
    </row>
    <row r="8" spans="1:7" x14ac:dyDescent="0.35">
      <c r="A8" t="s">
        <v>167</v>
      </c>
      <c r="B8" s="67">
        <v>46649</v>
      </c>
      <c r="C8" s="67">
        <v>36856</v>
      </c>
      <c r="D8" s="67">
        <v>58140</v>
      </c>
      <c r="E8" s="67">
        <v>29170</v>
      </c>
      <c r="F8" s="67">
        <v>-8533</v>
      </c>
      <c r="G8" s="67">
        <v>-16012</v>
      </c>
    </row>
    <row r="10" spans="1:7" x14ac:dyDescent="0.35">
      <c r="A10" t="s">
        <v>168</v>
      </c>
      <c r="B10" s="67">
        <v>62927</v>
      </c>
      <c r="C10" s="67">
        <v>27930</v>
      </c>
      <c r="D10" s="67">
        <v>60755.999999999993</v>
      </c>
      <c r="E10" s="67">
        <v>35946</v>
      </c>
      <c r="F10" s="67">
        <v>14611.000000000002</v>
      </c>
      <c r="G10" s="67">
        <v>15851</v>
      </c>
    </row>
    <row r="11" spans="1:7" ht="15" thickBot="1" x14ac:dyDescent="0.4">
      <c r="A11" s="42" t="s">
        <v>169</v>
      </c>
      <c r="B11" s="122">
        <f>B6-B10</f>
        <v>-44824</v>
      </c>
      <c r="C11" s="122">
        <f>C6-C10</f>
        <v>-21367</v>
      </c>
      <c r="D11" s="122">
        <f>D6-D10</f>
        <v>-58037.999999999993</v>
      </c>
      <c r="E11" s="122">
        <f>E6-E10</f>
        <v>-32367</v>
      </c>
      <c r="F11" s="122">
        <f t="shared" ref="F11:G11" si="0">F6-F10</f>
        <v>-4286.0000000000018</v>
      </c>
      <c r="G11" s="122">
        <f t="shared" si="0"/>
        <v>-11405</v>
      </c>
    </row>
    <row r="12" spans="1:7" ht="15" thickTop="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Normal="100" workbookViewId="0">
      <pane xSplit="2" ySplit="4" topLeftCell="C5" activePane="bottomRight" state="frozen"/>
      <selection pane="topRight" activeCell="C1" sqref="C1"/>
      <selection pane="bottomLeft" activeCell="A5" sqref="A5"/>
      <selection pane="bottomRight" sqref="A1:C1"/>
    </sheetView>
  </sheetViews>
  <sheetFormatPr defaultColWidth="8.81640625" defaultRowHeight="14.5" x14ac:dyDescent="0.35"/>
  <cols>
    <col min="1" max="1" width="8.81640625" style="1"/>
    <col min="2" max="2" width="24.81640625" style="1" customWidth="1"/>
    <col min="3" max="3" width="26.26953125" style="1" customWidth="1"/>
    <col min="4" max="8" width="13.7265625" style="1" customWidth="1"/>
    <col min="9" max="9" width="111.1796875" style="1" customWidth="1"/>
    <col min="10" max="16384" width="8.81640625" style="1"/>
  </cols>
  <sheetData>
    <row r="1" spans="1:18" ht="18.5" x14ac:dyDescent="0.45">
      <c r="A1" s="124" t="str">
        <f>BS!A1</f>
        <v>XYZ Financial Services Limited</v>
      </c>
      <c r="B1" s="124"/>
      <c r="C1" s="124"/>
      <c r="D1" s="101"/>
      <c r="E1" s="102"/>
    </row>
    <row r="2" spans="1:18" ht="18.5" x14ac:dyDescent="0.45">
      <c r="A2" s="123" t="s">
        <v>38</v>
      </c>
      <c r="B2" s="123"/>
      <c r="C2" s="2"/>
      <c r="D2" s="88"/>
      <c r="E2" s="88"/>
      <c r="F2" s="89"/>
      <c r="G2" s="89"/>
      <c r="H2" s="89"/>
    </row>
    <row r="3" spans="1:18" x14ac:dyDescent="0.35">
      <c r="B3" s="88"/>
      <c r="C3" s="88"/>
      <c r="D3" s="88"/>
      <c r="E3" s="88"/>
      <c r="F3" s="89"/>
      <c r="G3" s="89"/>
      <c r="H3" s="89"/>
    </row>
    <row r="4" spans="1:18" ht="15.5" x14ac:dyDescent="0.35">
      <c r="A4" s="104" t="s">
        <v>117</v>
      </c>
      <c r="B4" s="104" t="s">
        <v>116</v>
      </c>
      <c r="C4" s="104" t="s">
        <v>80</v>
      </c>
      <c r="D4" s="104" t="s">
        <v>174</v>
      </c>
      <c r="E4" s="104" t="s">
        <v>173</v>
      </c>
      <c r="F4" s="104" t="s">
        <v>172</v>
      </c>
      <c r="G4" s="104" t="s">
        <v>171</v>
      </c>
      <c r="H4" s="104" t="s">
        <v>3</v>
      </c>
      <c r="I4" s="104" t="s">
        <v>128</v>
      </c>
    </row>
    <row r="5" spans="1:18" x14ac:dyDescent="0.35">
      <c r="B5" s="92" t="s">
        <v>62</v>
      </c>
      <c r="C5" s="53"/>
      <c r="D5" s="53"/>
      <c r="E5" s="53"/>
      <c r="F5" s="53"/>
      <c r="G5" s="53"/>
      <c r="H5" s="53"/>
      <c r="I5" s="10"/>
      <c r="J5" s="10"/>
      <c r="K5" s="10"/>
      <c r="L5" s="10"/>
      <c r="M5" s="10"/>
      <c r="N5" s="10"/>
      <c r="O5" s="10"/>
      <c r="P5" s="10"/>
      <c r="Q5" s="10"/>
      <c r="R5" s="10"/>
    </row>
    <row r="6" spans="1:18" ht="26.5" x14ac:dyDescent="0.35">
      <c r="A6" s="1">
        <v>1</v>
      </c>
      <c r="B6" s="93" t="s">
        <v>59</v>
      </c>
      <c r="C6" s="94" t="s">
        <v>129</v>
      </c>
      <c r="D6" s="95">
        <f>IFERROR(BS!D41/BS!D21,0)</f>
        <v>4.178170494161048E-2</v>
      </c>
      <c r="E6" s="95">
        <f>IFERROR(BS!F41/BS!F21,0)</f>
        <v>4.6247230893036437E-2</v>
      </c>
      <c r="F6" s="95">
        <f>IFERROR(BS!H41/BS!H21,0)</f>
        <v>6.0975940509552948E-2</v>
      </c>
      <c r="G6" s="95">
        <f>IFERROR(BS!J41/BS!J21,0)</f>
        <v>3.4272775714598122E-2</v>
      </c>
      <c r="H6" s="95">
        <f>IFERROR(BS!L41/BS!L21,0)</f>
        <v>3.8552082395490406E-2</v>
      </c>
      <c r="I6" s="103" t="s">
        <v>130</v>
      </c>
      <c r="J6" s="10"/>
      <c r="K6" s="10"/>
      <c r="L6" s="10"/>
      <c r="M6" s="10"/>
      <c r="N6" s="10"/>
      <c r="O6" s="10"/>
      <c r="P6" s="10"/>
      <c r="Q6" s="10"/>
      <c r="R6" s="10"/>
    </row>
    <row r="7" spans="1:18" ht="52.5" x14ac:dyDescent="0.35">
      <c r="A7" s="1">
        <v>2</v>
      </c>
      <c r="B7" s="93" t="s">
        <v>41</v>
      </c>
      <c r="C7" s="94" t="s">
        <v>42</v>
      </c>
      <c r="D7" s="95">
        <f>IFERROR((BS!D41+BS!D40+BS!D38)/BS!D21,0)</f>
        <v>9.239806314149987E-2</v>
      </c>
      <c r="E7" s="95">
        <f>IFERROR((BS!F41+BS!F40+BS!F38)/BS!F21,0)</f>
        <v>7.646036130564203E-2</v>
      </c>
      <c r="F7" s="95">
        <f>IFERROR((BS!H41+BS!H40+BS!H38)/BS!H21,0)</f>
        <v>0.10034659787644921</v>
      </c>
      <c r="G7" s="95">
        <f>IFERROR((BS!J41+BS!J40+BS!J38)/BS!J21,0)</f>
        <v>4.1380907919730078E-2</v>
      </c>
      <c r="H7" s="95">
        <f>IFERROR((BS!L41+BS!L40+BS!L38)/BS!L21,0)</f>
        <v>7.1023041804256587E-2</v>
      </c>
      <c r="I7" s="103" t="s">
        <v>131</v>
      </c>
      <c r="J7" s="10"/>
      <c r="K7" s="10"/>
      <c r="L7" s="10"/>
      <c r="M7" s="10"/>
      <c r="N7" s="10"/>
      <c r="O7" s="10"/>
      <c r="P7" s="10"/>
      <c r="Q7" s="10"/>
      <c r="R7" s="10"/>
    </row>
    <row r="8" spans="1:18" ht="78.5" x14ac:dyDescent="0.35">
      <c r="A8" s="1">
        <v>3</v>
      </c>
      <c r="B8" s="93" t="s">
        <v>39</v>
      </c>
      <c r="C8" s="94" t="s">
        <v>40</v>
      </c>
      <c r="D8" s="95">
        <f>IFERROR(BS!D43/BS!D21,0)</f>
        <v>1.5058716164843238</v>
      </c>
      <c r="E8" s="95">
        <f>IFERROR(BS!F43/BS!F21,0)</f>
        <v>1.5680450997509099</v>
      </c>
      <c r="F8" s="95">
        <f>IFERROR(BS!H43/BS!H21,0)</f>
        <v>1.6298926509676319</v>
      </c>
      <c r="G8" s="95">
        <f>IFERROR(BS!J43/BS!J21,0)</f>
        <v>1.1834569868437228</v>
      </c>
      <c r="H8" s="95">
        <f>IFERROR(BS!L43/BS!L21,0)</f>
        <v>1.2709997730458293</v>
      </c>
      <c r="I8" s="103" t="s">
        <v>118</v>
      </c>
      <c r="J8" s="10"/>
      <c r="K8" s="10"/>
      <c r="L8" s="10"/>
      <c r="M8" s="10"/>
      <c r="N8" s="10"/>
      <c r="O8" s="10"/>
      <c r="P8" s="10"/>
      <c r="Q8" s="10"/>
      <c r="R8" s="10"/>
    </row>
    <row r="9" spans="1:18" s="85" customFormat="1" ht="39.5" x14ac:dyDescent="0.35">
      <c r="A9" s="85">
        <v>4</v>
      </c>
      <c r="B9" s="94" t="s">
        <v>81</v>
      </c>
      <c r="C9" s="94" t="s">
        <v>82</v>
      </c>
      <c r="D9" s="95">
        <f>IFERROR((BS!D43-BS!D21)/BS!D45,0)</f>
        <v>0.15994785933435271</v>
      </c>
      <c r="E9" s="95">
        <f>IFERROR((BS!F43-BS!F21)/BS!F45,0)</f>
        <v>0.16643435575371293</v>
      </c>
      <c r="F9" s="95">
        <f>IFERROR((BS!H43-BS!H21)/BS!H45,0)</f>
        <v>0.18049721574648528</v>
      </c>
      <c r="G9" s="95">
        <f>IFERROR((BS!J43-BS!J21)/BS!J45,0)</f>
        <v>7.3160445414587355E-2</v>
      </c>
      <c r="H9" s="95">
        <f>IFERROR((BS!L43-BS!L21)/BS!L45,0)</f>
        <v>0.10461396874570293</v>
      </c>
      <c r="I9" s="97" t="s">
        <v>83</v>
      </c>
      <c r="J9" s="96"/>
      <c r="K9" s="96"/>
      <c r="L9" s="96"/>
      <c r="M9" s="96"/>
      <c r="N9" s="96"/>
      <c r="O9" s="96"/>
      <c r="P9" s="96"/>
      <c r="Q9" s="96"/>
      <c r="R9" s="96"/>
    </row>
    <row r="10" spans="1:18" s="85" customFormat="1" x14ac:dyDescent="0.35">
      <c r="B10" s="93"/>
      <c r="C10" s="93"/>
      <c r="D10" s="50"/>
      <c r="E10" s="50"/>
      <c r="F10" s="50"/>
      <c r="G10" s="50"/>
      <c r="H10" s="50"/>
      <c r="I10" s="96"/>
      <c r="J10" s="96"/>
      <c r="K10" s="96"/>
      <c r="L10" s="96"/>
      <c r="M10" s="96"/>
      <c r="N10" s="96"/>
      <c r="O10" s="96"/>
      <c r="P10" s="96"/>
      <c r="Q10" s="96"/>
      <c r="R10" s="96"/>
    </row>
    <row r="11" spans="1:18" s="85" customFormat="1" x14ac:dyDescent="0.35">
      <c r="B11" s="92" t="s">
        <v>63</v>
      </c>
      <c r="C11" s="93"/>
      <c r="D11" s="50"/>
      <c r="E11" s="50"/>
      <c r="F11" s="50"/>
      <c r="G11" s="50"/>
      <c r="H11" s="50"/>
      <c r="I11" s="96"/>
      <c r="J11" s="96"/>
      <c r="K11" s="96"/>
      <c r="L11" s="96"/>
      <c r="M11" s="96"/>
      <c r="N11" s="96"/>
      <c r="O11" s="96"/>
      <c r="P11" s="96"/>
      <c r="Q11" s="96"/>
      <c r="R11" s="96"/>
    </row>
    <row r="12" spans="1:18" s="85" customFormat="1" ht="52.5" x14ac:dyDescent="0.35">
      <c r="A12" s="85">
        <v>5</v>
      </c>
      <c r="B12" s="93" t="s">
        <v>50</v>
      </c>
      <c r="C12" s="94" t="s">
        <v>60</v>
      </c>
      <c r="D12" s="95">
        <f>IFERROR(BS!D13/BS!D10,0)</f>
        <v>3.1483246790099635</v>
      </c>
      <c r="E12" s="95">
        <f>IFERROR(BS!F13/BS!F10,0)</f>
        <v>2.9217862079350798</v>
      </c>
      <c r="F12" s="95">
        <f>IFERROR(BS!H13/BS!H10,0)</f>
        <v>3.3181138766004423</v>
      </c>
      <c r="G12" s="95">
        <f>IFERROR(BS!J13/BS!J10,0)</f>
        <v>2.6082344385455345</v>
      </c>
      <c r="H12" s="95">
        <f>IFERROR(BS!L13/BS!L10,0)</f>
        <v>2.8468086460959712</v>
      </c>
      <c r="I12" s="97" t="s">
        <v>125</v>
      </c>
      <c r="J12" s="96"/>
      <c r="K12" s="96"/>
      <c r="L12" s="96"/>
      <c r="M12" s="96"/>
      <c r="N12" s="96"/>
      <c r="O12" s="96"/>
      <c r="P12" s="96"/>
      <c r="Q12" s="96"/>
      <c r="R12" s="96"/>
    </row>
    <row r="13" spans="1:18" ht="39.5" x14ac:dyDescent="0.35">
      <c r="A13" s="1">
        <v>6</v>
      </c>
      <c r="B13" s="93" t="s">
        <v>66</v>
      </c>
      <c r="C13" s="94" t="s">
        <v>61</v>
      </c>
      <c r="D13" s="95">
        <f>IFERROR(BS!D13/BS!D30,0)</f>
        <v>93.918901569907916</v>
      </c>
      <c r="E13" s="95">
        <f>IFERROR(BS!F13/BS!F30,0)</f>
        <v>121.89283533501658</v>
      </c>
      <c r="F13" s="95">
        <f>IFERROR(BS!H13/BS!H30,0)</f>
        <v>141.40975493042112</v>
      </c>
      <c r="G13" s="95">
        <f>IFERROR(BS!J13/BS!J30,0)</f>
        <v>134.3636332246586</v>
      </c>
      <c r="H13" s="95">
        <f>IFERROR(BS!L13/BS!L30,0)</f>
        <v>152.71464332728877</v>
      </c>
      <c r="I13" s="103" t="s">
        <v>132</v>
      </c>
      <c r="J13" s="10"/>
      <c r="K13" s="10"/>
      <c r="L13" s="10"/>
      <c r="M13" s="10"/>
      <c r="N13" s="10"/>
      <c r="O13" s="10"/>
      <c r="P13" s="10"/>
      <c r="Q13" s="10"/>
      <c r="R13" s="10"/>
    </row>
    <row r="14" spans="1:18" s="85" customFormat="1" x14ac:dyDescent="0.35">
      <c r="B14" s="45"/>
      <c r="C14" s="93"/>
      <c r="D14" s="50"/>
      <c r="E14" s="50"/>
      <c r="F14" s="50"/>
      <c r="G14" s="50"/>
      <c r="H14" s="50"/>
      <c r="I14" s="96"/>
      <c r="J14" s="96"/>
      <c r="K14" s="96"/>
      <c r="L14" s="96"/>
      <c r="M14" s="96"/>
      <c r="N14" s="96"/>
      <c r="O14" s="96"/>
      <c r="P14" s="96"/>
      <c r="Q14" s="96"/>
      <c r="R14" s="96"/>
    </row>
    <row r="15" spans="1:18" x14ac:dyDescent="0.35">
      <c r="B15" s="92" t="s">
        <v>64</v>
      </c>
      <c r="C15" s="93"/>
      <c r="D15" s="50"/>
      <c r="E15" s="50"/>
      <c r="F15" s="50"/>
      <c r="G15" s="50"/>
      <c r="H15" s="50"/>
      <c r="I15" s="10"/>
      <c r="J15" s="10"/>
      <c r="K15" s="10"/>
      <c r="L15" s="10"/>
      <c r="M15" s="10"/>
      <c r="N15" s="10"/>
      <c r="O15" s="10"/>
      <c r="P15" s="10"/>
      <c r="Q15" s="10"/>
      <c r="R15" s="10"/>
    </row>
    <row r="16" spans="1:18" s="85" customFormat="1" ht="52.5" x14ac:dyDescent="0.35">
      <c r="A16" s="85">
        <v>7</v>
      </c>
      <c r="B16" s="93" t="s">
        <v>46</v>
      </c>
      <c r="C16" s="94" t="s">
        <v>47</v>
      </c>
      <c r="D16" s="95">
        <f>IFERROR('P&amp;L'!D11/((BS!B39+BS!D39)/2),0)</f>
        <v>0</v>
      </c>
      <c r="E16" s="95">
        <f>IFERROR('P&amp;L'!F11/((BS!D39+BS!F39)/2),0)</f>
        <v>0</v>
      </c>
      <c r="F16" s="95">
        <f>IFERROR('P&amp;L'!H11/((BS!F39+BS!H39)/2),0)</f>
        <v>0</v>
      </c>
      <c r="G16" s="95">
        <f>IFERROR('P&amp;L'!J11/((BS!H39+BS!J39)/2),0)</f>
        <v>0</v>
      </c>
      <c r="H16" s="95">
        <f>IFERROR('P&amp;L'!L11/((BS!L39+BS!J39)/2),0)</f>
        <v>0</v>
      </c>
      <c r="I16" s="97" t="s">
        <v>123</v>
      </c>
      <c r="J16" s="96"/>
      <c r="K16" s="96"/>
      <c r="L16" s="96"/>
      <c r="M16" s="96"/>
      <c r="N16" s="96"/>
      <c r="O16" s="96"/>
      <c r="P16" s="96"/>
      <c r="Q16" s="96"/>
      <c r="R16" s="96"/>
    </row>
    <row r="17" spans="1:18" s="85" customFormat="1" ht="91.5" x14ac:dyDescent="0.35">
      <c r="A17" s="85">
        <v>8</v>
      </c>
      <c r="B17" s="94" t="s">
        <v>48</v>
      </c>
      <c r="C17" s="93" t="s">
        <v>49</v>
      </c>
      <c r="D17" s="95">
        <f>IFERROR(365/D16,0)</f>
        <v>0</v>
      </c>
      <c r="E17" s="95">
        <f>IFERROR(365/E16,0)</f>
        <v>0</v>
      </c>
      <c r="F17" s="95">
        <f>IFERROR(365/F16,0)</f>
        <v>0</v>
      </c>
      <c r="G17" s="95">
        <f>IFERROR(365/G16,0)</f>
        <v>0</v>
      </c>
      <c r="H17" s="95">
        <f>IFERROR(365/H16,0)</f>
        <v>0</v>
      </c>
      <c r="I17" s="97" t="s">
        <v>124</v>
      </c>
      <c r="J17" s="96"/>
      <c r="K17" s="96"/>
      <c r="L17" s="96"/>
      <c r="M17" s="96"/>
      <c r="N17" s="96"/>
      <c r="O17" s="96"/>
      <c r="P17" s="96"/>
      <c r="Q17" s="96"/>
      <c r="R17" s="96"/>
    </row>
    <row r="18" spans="1:18" s="85" customFormat="1" ht="65.5" x14ac:dyDescent="0.35">
      <c r="A18" s="85">
        <v>9</v>
      </c>
      <c r="B18" s="93" t="s">
        <v>121</v>
      </c>
      <c r="C18" s="94" t="s">
        <v>44</v>
      </c>
      <c r="D18" s="95">
        <f>IFERROR('P&amp;L'!D6/((BS!D40+BS!D40)/2),0)</f>
        <v>360.19009630400836</v>
      </c>
      <c r="E18" s="95">
        <f>IFERROR('P&amp;L'!F6/((BS!F40+BS!F40)/2),0)</f>
        <v>393.02165494751864</v>
      </c>
      <c r="F18" s="95">
        <f>IFERROR('P&amp;L'!H6/((BS!F40+BS!H40)/2),0)</f>
        <v>407.30860774788346</v>
      </c>
      <c r="G18" s="95">
        <f>IFERROR('P&amp;L'!J6/((BS!H40+BS!J40)/2),0)</f>
        <v>552.88409625438806</v>
      </c>
      <c r="H18" s="95">
        <f>IFERROR('P&amp;L'!L6/((BS!L40+BS!J40)/2),0)</f>
        <v>1085.4363230071674</v>
      </c>
      <c r="I18" s="97" t="s">
        <v>119</v>
      </c>
      <c r="J18" s="96"/>
      <c r="K18" s="96"/>
      <c r="L18" s="96"/>
      <c r="M18" s="96"/>
      <c r="N18" s="96"/>
      <c r="O18" s="96"/>
      <c r="P18" s="96"/>
      <c r="Q18" s="96"/>
      <c r="R18" s="96"/>
    </row>
    <row r="19" spans="1:18" ht="52.5" x14ac:dyDescent="0.35">
      <c r="A19" s="1">
        <v>10</v>
      </c>
      <c r="B19" s="94" t="s">
        <v>120</v>
      </c>
      <c r="C19" s="93" t="s">
        <v>45</v>
      </c>
      <c r="D19" s="95">
        <f>IFERROR(365/D18,0)</f>
        <v>1.0133537921929201</v>
      </c>
      <c r="E19" s="95">
        <f>IFERROR(365/E18,0)</f>
        <v>0.92870200765079869</v>
      </c>
      <c r="F19" s="95">
        <f>IFERROR(365/F18,0)</f>
        <v>0.8961264089609623</v>
      </c>
      <c r="G19" s="95">
        <f>IFERROR(365/G18,0)</f>
        <v>0.66017453291342187</v>
      </c>
      <c r="H19" s="95">
        <f>IFERROR(365/H18,0)</f>
        <v>0.33627030187158186</v>
      </c>
      <c r="I19" s="103" t="s">
        <v>122</v>
      </c>
      <c r="J19" s="10"/>
      <c r="K19" s="10"/>
      <c r="L19" s="10"/>
      <c r="M19" s="10"/>
      <c r="N19" s="10"/>
      <c r="O19" s="10"/>
      <c r="P19" s="10"/>
      <c r="Q19" s="10"/>
      <c r="R19" s="10"/>
    </row>
    <row r="20" spans="1:18" ht="78.5" x14ac:dyDescent="0.35">
      <c r="A20" s="1">
        <v>11</v>
      </c>
      <c r="B20" s="93" t="s">
        <v>53</v>
      </c>
      <c r="C20" s="94" t="s">
        <v>54</v>
      </c>
      <c r="D20" s="95">
        <f>IFERROR('P&amp;L'!D8/((BS!B45+BS!D45)/2),0)</f>
        <v>0.17333753853227102</v>
      </c>
      <c r="E20" s="95">
        <f>IFERROR('P&amp;L'!F8/((BS!D45+BS!F45)/2),0)</f>
        <v>0.1768148723159948</v>
      </c>
      <c r="F20" s="95">
        <f>IFERROR('P&amp;L'!H8/((BS!F45+BS!H45)/2),0)</f>
        <v>0.17330880666623794</v>
      </c>
      <c r="G20" s="95">
        <f>IFERROR('P&amp;L'!J8/((BS!H45+BS!J45)/2),0)</f>
        <v>0.16735741770613805</v>
      </c>
      <c r="H20" s="95">
        <f>IFERROR('P&amp;L'!L8/((BS!J45+BS!L45)/2),0)</f>
        <v>0.15819996769453573</v>
      </c>
      <c r="I20" s="103" t="s">
        <v>127</v>
      </c>
      <c r="J20" s="10"/>
      <c r="K20" s="10"/>
      <c r="L20" s="10"/>
      <c r="M20" s="10"/>
      <c r="N20" s="10"/>
      <c r="O20" s="10"/>
      <c r="P20" s="10"/>
      <c r="Q20" s="10"/>
      <c r="R20" s="10"/>
    </row>
    <row r="21" spans="1:18" s="85" customFormat="1" x14ac:dyDescent="0.35">
      <c r="B21" s="93"/>
      <c r="C21" s="93"/>
      <c r="D21" s="50"/>
      <c r="E21" s="50"/>
      <c r="F21" s="50"/>
      <c r="G21" s="50"/>
      <c r="H21" s="50"/>
      <c r="I21" s="96"/>
      <c r="J21" s="96"/>
      <c r="K21" s="96"/>
      <c r="L21" s="96"/>
      <c r="M21" s="96"/>
      <c r="N21" s="96"/>
      <c r="O21" s="96"/>
      <c r="P21" s="96"/>
      <c r="Q21" s="96"/>
      <c r="R21" s="96"/>
    </row>
    <row r="22" spans="1:18" x14ac:dyDescent="0.35">
      <c r="B22" s="92" t="s">
        <v>65</v>
      </c>
      <c r="C22" s="93"/>
      <c r="D22" s="50"/>
      <c r="E22" s="50"/>
      <c r="F22" s="50"/>
      <c r="G22" s="50"/>
      <c r="H22" s="50"/>
      <c r="I22" s="10"/>
      <c r="J22" s="10"/>
      <c r="K22" s="10"/>
      <c r="L22" s="10"/>
      <c r="M22" s="10"/>
      <c r="N22" s="10"/>
      <c r="O22" s="10"/>
      <c r="P22" s="10"/>
      <c r="Q22" s="10"/>
      <c r="R22" s="10"/>
    </row>
    <row r="23" spans="1:18" ht="65.5" x14ac:dyDescent="0.35">
      <c r="A23" s="1">
        <v>12</v>
      </c>
      <c r="B23" s="93" t="s">
        <v>51</v>
      </c>
      <c r="C23" s="93" t="s">
        <v>52</v>
      </c>
      <c r="D23" s="95">
        <f>IFERROR('P&amp;L'!D25/'P&amp;L'!D8,0)</f>
        <v>0.2218986888183892</v>
      </c>
      <c r="E23" s="95">
        <f>IFERROR('P&amp;L'!F25/'P&amp;L'!F8,0)</f>
        <v>0.22663928586008841</v>
      </c>
      <c r="F23" s="95">
        <f>IFERROR('P&amp;L'!H25/'P&amp;L'!H8,0)</f>
        <v>0.17912915282027309</v>
      </c>
      <c r="G23" s="95">
        <f>IFERROR('P&amp;L'!J25/'P&amp;L'!J8,0)</f>
        <v>0.1489381714990905</v>
      </c>
      <c r="H23" s="95">
        <f>IFERROR('P&amp;L'!L25/'P&amp;L'!L8,0)</f>
        <v>0.11390085570939894</v>
      </c>
      <c r="I23" s="103" t="s">
        <v>126</v>
      </c>
      <c r="J23" s="10"/>
      <c r="K23" s="10"/>
      <c r="L23" s="10"/>
      <c r="M23" s="10"/>
      <c r="N23" s="10"/>
      <c r="O23" s="10"/>
      <c r="P23" s="10"/>
      <c r="Q23" s="10"/>
      <c r="R23" s="10"/>
    </row>
    <row r="24" spans="1:18" s="85" customFormat="1" x14ac:dyDescent="0.35">
      <c r="B24" s="98"/>
      <c r="C24" s="99"/>
      <c r="D24" s="100"/>
      <c r="E24" s="100"/>
      <c r="F24" s="100"/>
      <c r="G24" s="100"/>
      <c r="H24" s="100"/>
      <c r="I24" s="96"/>
      <c r="J24" s="96"/>
      <c r="K24" s="96"/>
      <c r="L24" s="96"/>
      <c r="M24" s="96"/>
      <c r="N24" s="96"/>
      <c r="O24" s="96"/>
      <c r="P24" s="96"/>
      <c r="Q24" s="96"/>
      <c r="R24" s="96"/>
    </row>
    <row r="25" spans="1:18" x14ac:dyDescent="0.35">
      <c r="B25" s="10"/>
      <c r="C25" s="10"/>
      <c r="D25" s="10"/>
      <c r="E25" s="10"/>
      <c r="F25" s="10"/>
      <c r="G25" s="10"/>
      <c r="H25" s="10"/>
      <c r="I25" s="10"/>
      <c r="J25" s="10"/>
      <c r="K25" s="10"/>
      <c r="L25" s="10"/>
      <c r="M25" s="10"/>
      <c r="N25" s="10"/>
      <c r="O25" s="10"/>
      <c r="P25" s="10"/>
      <c r="Q25" s="10"/>
      <c r="R25" s="10"/>
    </row>
    <row r="26" spans="1:18" s="85" customFormat="1" x14ac:dyDescent="0.35">
      <c r="B26" s="96"/>
      <c r="C26" s="96"/>
      <c r="D26" s="96"/>
      <c r="E26" s="96"/>
      <c r="F26" s="96"/>
      <c r="G26" s="96"/>
      <c r="H26" s="96"/>
      <c r="I26" s="96"/>
      <c r="J26" s="96"/>
      <c r="K26" s="96"/>
      <c r="L26" s="96"/>
      <c r="M26" s="96"/>
      <c r="N26" s="96"/>
      <c r="O26" s="96"/>
      <c r="P26" s="96"/>
      <c r="Q26" s="96"/>
      <c r="R26" s="96"/>
    </row>
    <row r="28" spans="1:18" s="85" customFormat="1" x14ac:dyDescent="0.35"/>
    <row r="31" spans="1:18" x14ac:dyDescent="0.35">
      <c r="B31" s="86"/>
      <c r="G31" s="90"/>
      <c r="H31" s="90"/>
    </row>
    <row r="32" spans="1:18" x14ac:dyDescent="0.35">
      <c r="B32" s="86"/>
      <c r="G32" s="90"/>
      <c r="H32" s="90"/>
    </row>
    <row r="33" spans="2:8" x14ac:dyDescent="0.35">
      <c r="B33" s="86"/>
      <c r="G33" s="87"/>
      <c r="H33" s="87"/>
    </row>
    <row r="34" spans="2:8" x14ac:dyDescent="0.35">
      <c r="B34" s="86"/>
      <c r="G34" s="87"/>
      <c r="H34" s="87"/>
    </row>
    <row r="35" spans="2:8" x14ac:dyDescent="0.35">
      <c r="B35" s="86"/>
      <c r="G35" s="87"/>
      <c r="H35" s="87"/>
    </row>
    <row r="36" spans="2:8" x14ac:dyDescent="0.35">
      <c r="B36" s="86"/>
      <c r="G36" s="87"/>
      <c r="H36" s="87"/>
    </row>
    <row r="37" spans="2:8" x14ac:dyDescent="0.35">
      <c r="B37" s="86"/>
      <c r="G37" s="87"/>
      <c r="H37" s="87"/>
    </row>
    <row r="38" spans="2:8" x14ac:dyDescent="0.35">
      <c r="B38" s="86"/>
      <c r="G38" s="87"/>
      <c r="H38" s="87"/>
    </row>
    <row r="39" spans="2:8" x14ac:dyDescent="0.35">
      <c r="B39" s="86"/>
      <c r="G39" s="87"/>
      <c r="H39" s="87"/>
    </row>
    <row r="40" spans="2:8" x14ac:dyDescent="0.35">
      <c r="B40" s="86"/>
      <c r="G40" s="87"/>
      <c r="H40" s="87"/>
    </row>
    <row r="41" spans="2:8" x14ac:dyDescent="0.35">
      <c r="B41" s="86"/>
      <c r="G41" s="87"/>
      <c r="H41" s="87"/>
    </row>
    <row r="42" spans="2:8" x14ac:dyDescent="0.35">
      <c r="B42" s="86"/>
      <c r="G42" s="87"/>
      <c r="H42" s="87"/>
    </row>
    <row r="43" spans="2:8" x14ac:dyDescent="0.35">
      <c r="B43" s="86"/>
      <c r="G43" s="87"/>
      <c r="H43" s="87"/>
    </row>
    <row r="44" spans="2:8" x14ac:dyDescent="0.35">
      <c r="B44" s="86"/>
      <c r="G44" s="87"/>
      <c r="H44" s="87"/>
    </row>
    <row r="45" spans="2:8" x14ac:dyDescent="0.35">
      <c r="B45" s="86"/>
      <c r="G45" s="87"/>
      <c r="H45" s="87"/>
    </row>
    <row r="46" spans="2:8" x14ac:dyDescent="0.35">
      <c r="B46" s="86"/>
    </row>
  </sheetData>
  <sheetProtection sheet="1" objects="1" scenarios="1"/>
  <mergeCells count="2">
    <mergeCell ref="A1:C1"/>
    <mergeCell ref="A2:B2"/>
  </mergeCells>
  <pageMargins left="0.7" right="0.7" top="0.75" bottom="0.75" header="0.3" footer="0.3"/>
  <pageSetup paperSize="9" orientation="portrait" horizontalDpi="4294967292" r:id="rId1"/>
  <ignoredErrors>
    <ignoredError sqref="D18:H1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pane ySplit="4" topLeftCell="A11" activePane="bottomLeft" state="frozen"/>
      <selection pane="bottomLeft" activeCell="H17" sqref="H17"/>
    </sheetView>
  </sheetViews>
  <sheetFormatPr defaultRowHeight="14.5" x14ac:dyDescent="0.35"/>
  <cols>
    <col min="1" max="1" width="13.36328125" style="129" bestFit="1" customWidth="1"/>
    <col min="2" max="3" width="9.08984375" style="129" customWidth="1"/>
    <col min="4" max="4" width="9.26953125" style="129" customWidth="1"/>
    <col min="5" max="6" width="9.1796875" style="129" customWidth="1"/>
    <col min="7" max="8" width="8.7265625" style="129"/>
    <col min="9" max="9" width="25.26953125" style="129" customWidth="1"/>
    <col min="10" max="10" width="52.1796875" style="129" customWidth="1"/>
    <col min="11" max="13" width="8.7265625" style="129"/>
    <col min="14" max="14" width="39.26953125" style="129" bestFit="1" customWidth="1"/>
    <col min="15" max="15" width="52.1796875" style="129" bestFit="1" customWidth="1"/>
    <col min="16" max="16384" width="8.7265625" style="129"/>
  </cols>
  <sheetData>
    <row r="1" spans="1:10" ht="18.5" x14ac:dyDescent="0.45">
      <c r="A1" s="128" t="str">
        <f>Ratios!A1</f>
        <v>XYZ Financial Services Limited</v>
      </c>
    </row>
    <row r="2" spans="1:10" ht="15.5" x14ac:dyDescent="0.35">
      <c r="A2" s="130" t="s">
        <v>180</v>
      </c>
    </row>
    <row r="3" spans="1:10" x14ac:dyDescent="0.35">
      <c r="B3" s="131"/>
      <c r="C3" s="131"/>
      <c r="D3" s="131"/>
      <c r="E3" s="131"/>
      <c r="F3" s="131"/>
    </row>
    <row r="4" spans="1:10" x14ac:dyDescent="0.35">
      <c r="A4" s="132" t="s">
        <v>116</v>
      </c>
      <c r="B4" s="132" t="s">
        <v>174</v>
      </c>
      <c r="C4" s="132" t="s">
        <v>173</v>
      </c>
      <c r="D4" s="132" t="s">
        <v>172</v>
      </c>
      <c r="E4" s="132" t="s">
        <v>171</v>
      </c>
      <c r="F4" s="132" t="s">
        <v>3</v>
      </c>
      <c r="I4" s="141" t="s">
        <v>116</v>
      </c>
      <c r="J4" s="141" t="s">
        <v>80</v>
      </c>
    </row>
    <row r="5" spans="1:10" x14ac:dyDescent="0.35">
      <c r="A5" s="133" t="s">
        <v>149</v>
      </c>
      <c r="B5" s="134">
        <f>(BS!D40/'P&amp;L'!D8)/(BS!B40/'P&amp;L'!B8)</f>
        <v>0.78277995563021641</v>
      </c>
      <c r="C5" s="134">
        <f>(BS!F40/'P&amp;L'!F6)/(BS!D40/'P&amp;L'!D6)</f>
        <v>0.91646374129717001</v>
      </c>
      <c r="D5" s="134">
        <f>(BS!H40/'P&amp;L'!H6)/(BS!F40/'P&amp;L'!F6)</f>
        <v>1.1462205040589488</v>
      </c>
      <c r="E5" s="134">
        <f>(BS!J40/'P&amp;L'!J6)/(BS!H40/'P&amp;L'!H6)</f>
        <v>0.35133573842917881</v>
      </c>
      <c r="F5" s="134">
        <f>(BS!L40/'P&amp;L'!L6)/(BS!J40/'P&amp;L'!J6)</f>
        <v>0.85243314197246822</v>
      </c>
      <c r="I5" s="135" t="s">
        <v>158</v>
      </c>
      <c r="J5" s="135" t="s">
        <v>182</v>
      </c>
    </row>
    <row r="6" spans="1:10" x14ac:dyDescent="0.35">
      <c r="A6" s="133" t="s">
        <v>150</v>
      </c>
      <c r="B6" s="136">
        <f>(('P&amp;L'!B8-'P&amp;L'!B11)/'P&amp;L'!B8)/(('P&amp;L'!D8-'P&amp;L'!D11)/'P&amp;L'!D8)</f>
        <v>1</v>
      </c>
      <c r="C6" s="136">
        <f>(('P&amp;L'!D8-'P&amp;L'!D11)/'P&amp;L'!D8)/(('P&amp;L'!F8-'P&amp;L'!F11)/'P&amp;L'!F8)</f>
        <v>1</v>
      </c>
      <c r="D6" s="136">
        <f>(('P&amp;L'!F8-'P&amp;L'!F11)/'P&amp;L'!F8)/(('P&amp;L'!H8-'P&amp;L'!H11)/'P&amp;L'!H8)</f>
        <v>1</v>
      </c>
      <c r="E6" s="136">
        <f>(('P&amp;L'!H8-'P&amp;L'!H11)/'P&amp;L'!H8)/(('P&amp;L'!J8-'P&amp;L'!J11)/'P&amp;L'!J8)</f>
        <v>1</v>
      </c>
      <c r="F6" s="136">
        <f>(('P&amp;L'!J8-'P&amp;L'!J11)/'P&amp;L'!J8)/(('P&amp;L'!L8-'P&amp;L'!L11)/'P&amp;L'!L8)</f>
        <v>1</v>
      </c>
      <c r="I6" s="135" t="s">
        <v>159</v>
      </c>
      <c r="J6" s="135" t="s">
        <v>183</v>
      </c>
    </row>
    <row r="7" spans="1:10" ht="26.5" x14ac:dyDescent="0.35">
      <c r="A7" s="133" t="s">
        <v>151</v>
      </c>
      <c r="B7" s="134">
        <f>((BS!D45-BS!D43-BS!D30)/BS!D45)/((BS!B45-BS!B43-BS!B30)/BS!B45)</f>
        <v>1.0634484862868354</v>
      </c>
      <c r="C7" s="134">
        <f>((BS!F45-BS!F43-BS!F30)/BS!F45)/((BS!D45-BS!D43-BS!D30)/BS!D45)</f>
        <v>1.0344084016020338</v>
      </c>
      <c r="D7" s="134">
        <f>((BS!H45-BS!H43-BS!H30)/BS!H45)/((BS!F45-BS!F43-BS!F30)/BS!F45)</f>
        <v>0.98656458394428781</v>
      </c>
      <c r="E7" s="134">
        <f>((BS!J45-BS!J43-BS!J30)/BS!J45)/((BS!H45-BS!H43-BS!H30)/BS!H45)</f>
        <v>0.99194640287188629</v>
      </c>
      <c r="F7" s="134">
        <f>((BS!L45-BS!L43-BS!L30)/BS!L45)/((BS!J45-BS!J43-BS!J30)/BS!J45)</f>
        <v>0.96489913592190335</v>
      </c>
      <c r="I7" s="135" t="s">
        <v>160</v>
      </c>
      <c r="J7" s="135" t="s">
        <v>184</v>
      </c>
    </row>
    <row r="8" spans="1:10" x14ac:dyDescent="0.35">
      <c r="A8" s="133" t="s">
        <v>152</v>
      </c>
      <c r="B8" s="134">
        <f>'P&amp;L'!D8/'P&amp;L'!B8</f>
        <v>1.4131894161961291</v>
      </c>
      <c r="C8" s="134">
        <f>'P&amp;L'!F8/'P&amp;L'!D8</f>
        <v>1.3936547773060972</v>
      </c>
      <c r="D8" s="134">
        <f>'P&amp;L'!H8/'P&amp;L'!F8</f>
        <v>1.2717297280226276</v>
      </c>
      <c r="E8" s="134">
        <f>'P&amp;L'!J8/'P&amp;L'!H8</f>
        <v>1.1275390523065343</v>
      </c>
      <c r="F8" s="134">
        <f>'P&amp;L'!L8/'P&amp;L'!J8</f>
        <v>1.0573699850985887</v>
      </c>
      <c r="I8" s="135" t="s">
        <v>161</v>
      </c>
      <c r="J8" s="135" t="s">
        <v>185</v>
      </c>
    </row>
    <row r="9" spans="1:10" ht="26.5" x14ac:dyDescent="0.35">
      <c r="A9" s="133" t="s">
        <v>153</v>
      </c>
      <c r="B9" s="136">
        <f>('P&amp;L'!B14/('P&amp;L'!B14+BS!B30))/('P&amp;L'!D14/('P&amp;L'!D14+BS!D30))</f>
        <v>1.0091262999845003</v>
      </c>
      <c r="C9" s="136">
        <f>('P&amp;L'!D14/('P&amp;L'!D14+BS!D30))/('P&amp;L'!F14/('P&amp;L'!F14+BS!F30))</f>
        <v>0.95770174423412446</v>
      </c>
      <c r="D9" s="136">
        <f>('P&amp;L'!F14/('P&amp;L'!F14+BS!F30))/('P&amp;L'!H14/('P&amp;L'!H14+BS!H30))</f>
        <v>1.0205910696650202</v>
      </c>
      <c r="E9" s="136">
        <f>('P&amp;L'!H14/('P&amp;L'!H14+BS!H30))/('P&amp;L'!J14/('P&amp;L'!J14+BS!J30))</f>
        <v>0.61671321933847789</v>
      </c>
      <c r="F9" s="136">
        <f>('P&amp;L'!J14/('P&amp;L'!J14+BS!J30))/('P&amp;L'!L14/('P&amp;L'!L14+BS!L30))</f>
        <v>1.0341827105258219</v>
      </c>
      <c r="I9" s="135" t="s">
        <v>162</v>
      </c>
      <c r="J9" s="135" t="s">
        <v>186</v>
      </c>
    </row>
    <row r="10" spans="1:10" ht="26.5" x14ac:dyDescent="0.35">
      <c r="A10" s="133" t="s">
        <v>154</v>
      </c>
      <c r="B10" s="136">
        <f>(('P&amp;L'!D11+'P&amp;L'!D12+'P&amp;L'!D15)/'P&amp;L'!D8)/(('P&amp;L'!B11+'P&amp;L'!B12+'P&amp;L'!B15)/'P&amp;L'!B8)</f>
        <v>0.86163582012919826</v>
      </c>
      <c r="C10" s="136">
        <f>(('P&amp;L'!F11+'P&amp;L'!F12+'P&amp;L'!F15)/'P&amp;L'!F8)/(('P&amp;L'!D11+'P&amp;L'!D12+'P&amp;L'!D15)/'P&amp;L'!D8)</f>
        <v>0.98669194347373934</v>
      </c>
      <c r="D10" s="136">
        <f>(('P&amp;L'!H11+'P&amp;L'!H12+'P&amp;L'!H15)/'P&amp;L'!H8)/(('P&amp;L'!F11+'P&amp;L'!F12+'P&amp;L'!F15)/'P&amp;L'!F8)</f>
        <v>1.093511073615919</v>
      </c>
      <c r="E10" s="136">
        <f>(('P&amp;L'!J11+'P&amp;L'!J12+'P&amp;L'!J15)/'P&amp;L'!J8)/(('P&amp;L'!H11+'P&amp;L'!H12+'P&amp;L'!H15)/'P&amp;L'!H8)</f>
        <v>1.1398632629970415</v>
      </c>
      <c r="F10" s="136">
        <f>(('P&amp;L'!L11+'P&amp;L'!L12+'P&amp;L'!L15)/'P&amp;L'!L8)/(('P&amp;L'!J11+'P&amp;L'!J12+'P&amp;L'!J15)/'P&amp;L'!J8)</f>
        <v>1.1535453696509601</v>
      </c>
      <c r="I10" s="135" t="s">
        <v>157</v>
      </c>
      <c r="J10" s="135" t="s">
        <v>187</v>
      </c>
    </row>
    <row r="11" spans="1:10" ht="26.5" x14ac:dyDescent="0.35">
      <c r="A11" s="133" t="s">
        <v>155</v>
      </c>
      <c r="B11" s="136">
        <f>((BS!D13+BS!D21)/BS!D23)/((BS!B13+BS!B21)/BS!B23)</f>
        <v>1.0433042116014413</v>
      </c>
      <c r="C11" s="136">
        <f>((BS!F13+BS!F21)/BS!F23)/((BS!D13+BS!D21)/BS!D23)</f>
        <v>0.98387750170970267</v>
      </c>
      <c r="D11" s="136">
        <f>((BS!H13+BS!H21)/BS!H23)/((BS!F13+BS!F21)/BS!F23)</f>
        <v>1.0209089134534162</v>
      </c>
      <c r="E11" s="136">
        <f>((BS!J13+BS!J21)/BS!J23)/((BS!H13+BS!H21)/BS!H23)</f>
        <v>1.0000385787894914</v>
      </c>
      <c r="F11" s="136">
        <f>((BS!L13+BS!L21)/BS!L23)/((BS!J13+BS!J21)/BS!J23)</f>
        <v>1.0043155753942525</v>
      </c>
      <c r="I11" s="135" t="s">
        <v>163</v>
      </c>
      <c r="J11" s="135" t="s">
        <v>188</v>
      </c>
    </row>
    <row r="12" spans="1:10" ht="26.5" x14ac:dyDescent="0.35">
      <c r="A12" s="133" t="s">
        <v>156</v>
      </c>
      <c r="B12" s="136">
        <f>('P&amp;L'!D18-'Cash Flow'!C6)/BS!D45</f>
        <v>4.6312167908403271E-2</v>
      </c>
      <c r="C12" s="136">
        <f>('P&amp;L'!F18-'Cash Flow'!D6)/BS!F45</f>
        <v>4.7992181361225988E-2</v>
      </c>
      <c r="D12" s="136">
        <f>('P&amp;L'!H18-'Cash Flow'!E6)/BS!H45</f>
        <v>4.1368972004011864E-2</v>
      </c>
      <c r="E12" s="136">
        <f>('P&amp;L'!J18-'Cash Flow'!F6)/BS!J45</f>
        <v>3.2798917461293285E-2</v>
      </c>
      <c r="F12" s="136">
        <f>('P&amp;L'!L18-'Cash Flow'!G6)/BS!L45</f>
        <v>2.5106982711384427E-2</v>
      </c>
      <c r="I12" s="135" t="s">
        <v>164</v>
      </c>
      <c r="J12" s="135" t="s">
        <v>189</v>
      </c>
    </row>
    <row r="15" spans="1:10" x14ac:dyDescent="0.35">
      <c r="A15" s="137" t="s">
        <v>175</v>
      </c>
      <c r="B15" s="138"/>
      <c r="C15" s="138"/>
      <c r="D15" s="138"/>
      <c r="E15" s="138"/>
      <c r="F15" s="138"/>
    </row>
    <row r="16" spans="1:10" ht="26.5" x14ac:dyDescent="0.35">
      <c r="A16" s="142" t="s">
        <v>176</v>
      </c>
      <c r="B16" s="143">
        <f>-4.84+0.92*B5+0.528*B6+0.404*B7+0.892*B8+0.115*B9-0.172*B10+4.679*B12-0.327*B11</f>
        <v>-2.058261973227629</v>
      </c>
      <c r="C16" s="143">
        <f>-4.84+0.92*C5+0.528*C6+0.404*C7+0.892*C8+0.115*C9-0.172*C10+4.679*C12-0.327*C11</f>
        <v>-1.9645601425627983</v>
      </c>
      <c r="D16" s="143">
        <f>-4.84+0.92*D5+0.528*D6+0.404*D7+0.892*D8+0.115*D9-0.172*D10+4.679*D12-0.327*D11</f>
        <v>-1.9355098532990471</v>
      </c>
      <c r="E16" s="143">
        <f>-4.84+0.92*E5+0.528*E6+0.404*E7+0.892*E8+0.115*E9-0.172*E10+4.679*E12-0.327*E11</f>
        <v>-2.8809408807018233</v>
      </c>
      <c r="F16" s="143">
        <f>-4.84+0.92*F5+0.528*F6+0.404*F7+0.892*F8+0.115*F9-0.172*F10+4.679*F12-0.327*F11</f>
        <v>-2.4851826446817875</v>
      </c>
      <c r="I16" s="135" t="s">
        <v>176</v>
      </c>
      <c r="J16" s="135" t="s">
        <v>178</v>
      </c>
    </row>
    <row r="17" spans="1:10" ht="26.5" x14ac:dyDescent="0.35">
      <c r="A17" s="142" t="s">
        <v>177</v>
      </c>
      <c r="B17" s="143">
        <f>-6.065+0.823*B5+0.906*B6+0.593*B7+0.717*B8+0.107*B9</f>
        <v>-2.7629138186372728</v>
      </c>
      <c r="C17" s="143">
        <f>-6.065+0.823*C5+0.906*C6+0.593*C7+0.717*C8+0.107*C9</f>
        <v>-2.6896215968009005</v>
      </c>
      <c r="D17" s="143">
        <f>-6.065+0.823*D5+0.906*D6+0.593*D7+0.717*D8+0.107*D9</f>
        <v>-2.6095942674341428</v>
      </c>
      <c r="E17" s="143">
        <f>-6.065+0.823*E5+0.906*E6+0.593*E7+0.717*E8+0.107*E9</f>
        <v>-3.4071926553967562</v>
      </c>
      <c r="F17" s="143">
        <f>-6.065+0.823*F5+0.906*F6+0.593*F7+0.717*F8+0.107*F9</f>
        <v>-3.01647050721302</v>
      </c>
      <c r="I17" s="135" t="s">
        <v>177</v>
      </c>
      <c r="J17" s="135" t="s">
        <v>179</v>
      </c>
    </row>
    <row r="19" spans="1:10" ht="31" customHeight="1" x14ac:dyDescent="0.35">
      <c r="A19" s="140" t="s">
        <v>176</v>
      </c>
      <c r="B19" s="139" t="s">
        <v>190</v>
      </c>
      <c r="C19" s="139"/>
      <c r="D19" s="139"/>
      <c r="E19" s="139"/>
      <c r="F19" s="139"/>
    </row>
    <row r="20" spans="1:10" ht="32.5" customHeight="1" x14ac:dyDescent="0.35">
      <c r="A20" s="140" t="s">
        <v>177</v>
      </c>
      <c r="B20" s="139" t="s">
        <v>191</v>
      </c>
      <c r="C20" s="139"/>
      <c r="D20" s="139"/>
      <c r="E20" s="139"/>
      <c r="F20" s="139"/>
    </row>
    <row r="21" spans="1:10" x14ac:dyDescent="0.35">
      <c r="H21" s="133"/>
    </row>
    <row r="22" spans="1:10" x14ac:dyDescent="0.35">
      <c r="H22" s="133"/>
    </row>
    <row r="23" spans="1:10" x14ac:dyDescent="0.35">
      <c r="H23" s="133"/>
    </row>
    <row r="24" spans="1:10" x14ac:dyDescent="0.35">
      <c r="H24" s="133"/>
    </row>
    <row r="25" spans="1:10" x14ac:dyDescent="0.35">
      <c r="H25" s="133"/>
    </row>
    <row r="26" spans="1:10" x14ac:dyDescent="0.35">
      <c r="H26" s="133"/>
    </row>
    <row r="27" spans="1:10" x14ac:dyDescent="0.35">
      <c r="H27" s="133"/>
    </row>
    <row r="28" spans="1:10" x14ac:dyDescent="0.35">
      <c r="H28" s="133"/>
    </row>
    <row r="29" spans="1:10" x14ac:dyDescent="0.35">
      <c r="H29" s="133"/>
    </row>
    <row r="30" spans="1:10" x14ac:dyDescent="0.35">
      <c r="H30" s="133"/>
    </row>
  </sheetData>
  <sheetProtection sheet="1" objects="1" scenarios="1"/>
  <mergeCells count="2">
    <mergeCell ref="B19:F19"/>
    <mergeCell ref="B20:F2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pane ySplit="4" topLeftCell="A5" activePane="bottomLeft" state="frozen"/>
      <selection pane="bottomLeft" activeCell="A5" sqref="A5"/>
    </sheetView>
  </sheetViews>
  <sheetFormatPr defaultColWidth="9.1796875" defaultRowHeight="14.5" x14ac:dyDescent="0.35"/>
  <cols>
    <col min="1" max="1" width="48.7265625" style="105" customWidth="1"/>
    <col min="2" max="2" width="42.7265625" style="105" customWidth="1"/>
    <col min="3" max="7" width="15.7265625" style="105" customWidth="1"/>
    <col min="8" max="16384" width="9.1796875" style="105"/>
  </cols>
  <sheetData>
    <row r="1" spans="1:7" ht="21" x14ac:dyDescent="0.5">
      <c r="A1" s="119" t="str">
        <f>BS!A1</f>
        <v>XYZ Financial Services Limited</v>
      </c>
      <c r="B1" s="119"/>
      <c r="C1" s="119"/>
      <c r="D1" s="119"/>
      <c r="E1" s="121"/>
      <c r="F1" s="1"/>
      <c r="G1" s="1"/>
    </row>
    <row r="2" spans="1:7" ht="18.5" x14ac:dyDescent="0.45">
      <c r="A2" s="83" t="s">
        <v>108</v>
      </c>
      <c r="B2" s="83"/>
      <c r="C2" s="83"/>
      <c r="D2" s="83"/>
      <c r="E2" s="3"/>
      <c r="F2" s="3"/>
      <c r="G2" s="3"/>
    </row>
    <row r="3" spans="1:7" s="106" customFormat="1" ht="15.5" x14ac:dyDescent="0.35">
      <c r="A3" s="114"/>
      <c r="B3" s="114"/>
      <c r="C3" s="114"/>
      <c r="D3" s="114"/>
      <c r="E3" s="115"/>
      <c r="F3" s="115"/>
      <c r="G3" s="115"/>
    </row>
    <row r="4" spans="1:7" ht="15.5" x14ac:dyDescent="0.35">
      <c r="A4" s="104" t="s">
        <v>143</v>
      </c>
      <c r="B4" s="104" t="s">
        <v>80</v>
      </c>
      <c r="C4" s="104" t="s">
        <v>58</v>
      </c>
      <c r="D4" s="104" t="s">
        <v>55</v>
      </c>
      <c r="E4" s="104" t="s">
        <v>5</v>
      </c>
      <c r="F4" s="104" t="s">
        <v>4</v>
      </c>
      <c r="G4" s="104" t="s">
        <v>3</v>
      </c>
    </row>
    <row r="5" spans="1:7" x14ac:dyDescent="0.35">
      <c r="A5" s="93" t="s">
        <v>133</v>
      </c>
      <c r="B5" s="107" t="s">
        <v>82</v>
      </c>
      <c r="C5" s="108">
        <f>IFERROR((BS!D43-BS!D21)/BS!D45,0)</f>
        <v>0.15994785933435271</v>
      </c>
      <c r="D5" s="108">
        <f>IFERROR((BS!F43-BS!F21)/BS!F45,0)</f>
        <v>0.16643435575371293</v>
      </c>
      <c r="E5" s="108">
        <f>IFERROR((BS!H43-BS!H21)/BS!H45,0)</f>
        <v>0.18049721574648528</v>
      </c>
      <c r="F5" s="108">
        <f>IFERROR((BS!J43-BS!J21)/BS!J45,0)</f>
        <v>7.3160445414587355E-2</v>
      </c>
      <c r="G5" s="108">
        <f>IFERROR((BS!L43-BS!L21)/BS!L45,0)</f>
        <v>0.10461396874570293</v>
      </c>
    </row>
    <row r="6" spans="1:7" x14ac:dyDescent="0.35">
      <c r="A6" s="93" t="s">
        <v>134</v>
      </c>
      <c r="B6" s="107" t="s">
        <v>86</v>
      </c>
      <c r="C6" s="108">
        <f>IFERROR(BS!D9/BS!D45,0)</f>
        <v>0.15345280117700461</v>
      </c>
      <c r="D6" s="108">
        <f>IFERROR(BS!F9/BS!F45,0)</f>
        <v>0.17032417130160707</v>
      </c>
      <c r="E6" s="108">
        <f>IFERROR(BS!H9/BS!H45,0)</f>
        <v>0.15731556268155039</v>
      </c>
      <c r="F6" s="108">
        <f>IFERROR(BS!J9/BS!J45,0)</f>
        <v>0.15842384288000355</v>
      </c>
      <c r="G6" s="108">
        <f>IFERROR(BS!L9/BS!L45,0)</f>
        <v>0.15096679190260795</v>
      </c>
    </row>
    <row r="7" spans="1:7" x14ac:dyDescent="0.35">
      <c r="A7" s="93" t="s">
        <v>135</v>
      </c>
      <c r="B7" s="107" t="s">
        <v>88</v>
      </c>
      <c r="C7" s="108">
        <f>IFERROR(('P&amp;L'!D18+'P&amp;L'!D13)/BS!D45,0)</f>
        <v>0.11020516046977132</v>
      </c>
      <c r="D7" s="108">
        <f>IFERROR(('P&amp;L'!F18+'P&amp;L'!F13)/BS!F45,0)</f>
        <v>0.11255824428103466</v>
      </c>
      <c r="E7" s="108">
        <f>IFERROR(('P&amp;L'!H18+'P&amp;L'!H13)/BS!H45,0)</f>
        <v>0.11159647049016674</v>
      </c>
      <c r="F7" s="108">
        <f>IFERROR(('P&amp;L'!J18+'P&amp;L'!J13)/BS!J45,0)</f>
        <v>0.10692706143597157</v>
      </c>
      <c r="G7" s="108">
        <f>IFERROR(('P&amp;L'!L18+'P&amp;L'!L13)/BS!L45,0)</f>
        <v>9.2913632880747943E-2</v>
      </c>
    </row>
    <row r="8" spans="1:7" x14ac:dyDescent="0.35">
      <c r="A8" s="94" t="s">
        <v>136</v>
      </c>
      <c r="B8" s="107" t="s">
        <v>89</v>
      </c>
      <c r="C8" s="108">
        <f>IFERROR((C9*C10)/BS!D23,0)</f>
        <v>7.5126703041558246E-2</v>
      </c>
      <c r="D8" s="108">
        <f>IFERROR((D9*D10)/BS!F23,0)</f>
        <v>8.0758687547163532E-2</v>
      </c>
      <c r="E8" s="108">
        <f>IFERROR((E9*E10)/BS!H23,0)</f>
        <v>0.45263065942079173</v>
      </c>
      <c r="F8" s="108">
        <f>IFERROR((F9*F10)/BS!J23,0)</f>
        <v>0.41172613529736918</v>
      </c>
      <c r="G8" s="108">
        <f>IFERROR((G9*G10)/BS!L23,0)</f>
        <v>0.35070468660436543</v>
      </c>
    </row>
    <row r="9" spans="1:7" x14ac:dyDescent="0.35">
      <c r="A9" s="109" t="s">
        <v>146</v>
      </c>
      <c r="B9" s="109"/>
      <c r="C9" s="110">
        <v>134.08000000000001</v>
      </c>
      <c r="D9" s="110">
        <v>197.95</v>
      </c>
      <c r="E9" s="110">
        <v>252</v>
      </c>
      <c r="F9" s="110">
        <v>253.9</v>
      </c>
      <c r="G9" s="110">
        <v>244.05</v>
      </c>
    </row>
    <row r="10" spans="1:7" x14ac:dyDescent="0.35">
      <c r="A10" s="109" t="s">
        <v>147</v>
      </c>
      <c r="B10" s="109"/>
      <c r="C10" s="110">
        <f>104002735/100000</f>
        <v>1040.0273500000001</v>
      </c>
      <c r="D10" s="110">
        <f>104002735/100000</f>
        <v>1040.0273500000001</v>
      </c>
      <c r="E10" s="110">
        <f>568764960/100000</f>
        <v>5687.6495999999997</v>
      </c>
      <c r="F10" s="110">
        <f>568764960/100000</f>
        <v>5687.6495999999997</v>
      </c>
      <c r="G10" s="110">
        <f>568764960/100000</f>
        <v>5687.6495999999997</v>
      </c>
    </row>
    <row r="11" spans="1:7" x14ac:dyDescent="0.35">
      <c r="A11" s="94" t="s">
        <v>137</v>
      </c>
      <c r="B11" s="107" t="s">
        <v>90</v>
      </c>
      <c r="C11" s="108">
        <f>IFERROR('P&amp;L'!D6/BS!D45,0)</f>
        <v>0.14910928652530905</v>
      </c>
      <c r="D11" s="108">
        <f>IFERROR('P&amp;L'!F6/BS!F45,0)</f>
        <v>0.15128896957867904</v>
      </c>
      <c r="E11" s="108">
        <f>IFERROR('P&amp;L'!H6/BS!H45,0)</f>
        <v>0.15542459368715247</v>
      </c>
      <c r="F11" s="108">
        <f>IFERROR('P&amp;L'!J6/BS!J45,0)</f>
        <v>0.15783865969832012</v>
      </c>
      <c r="G11" s="108">
        <f>IFERROR('P&amp;L'!L6/BS!L45,0)</f>
        <v>0.14788373213359512</v>
      </c>
    </row>
    <row r="12" spans="1:7" x14ac:dyDescent="0.35">
      <c r="A12" s="109"/>
      <c r="B12" s="109"/>
      <c r="C12" s="109"/>
      <c r="D12" s="109"/>
      <c r="E12" s="109"/>
      <c r="F12" s="109"/>
      <c r="G12" s="109"/>
    </row>
    <row r="13" spans="1:7" x14ac:dyDescent="0.35">
      <c r="A13" s="91" t="s">
        <v>87</v>
      </c>
      <c r="B13" s="109"/>
      <c r="C13" s="109"/>
      <c r="D13" s="109"/>
      <c r="E13" s="109"/>
      <c r="F13" s="109"/>
      <c r="G13" s="109"/>
    </row>
    <row r="14" spans="1:7" x14ac:dyDescent="0.35">
      <c r="A14" s="109" t="s">
        <v>140</v>
      </c>
      <c r="B14" s="109" t="s">
        <v>91</v>
      </c>
      <c r="C14" s="108">
        <f>0.012*C5+0.014*C6+0.033*C7+0.006*C8+0.999*C11</f>
        <v>0.15711542128102585</v>
      </c>
      <c r="D14" s="108">
        <f>0.012*D5+0.014*D6+0.033*D7+0.006*D8+0.999*D11</f>
        <v>0.15971840546292457</v>
      </c>
      <c r="E14" s="108">
        <f>0.012*E5+0.014*E6+0.033*E7+0.006*E8+0.999*E11</f>
        <v>0.16603602104266513</v>
      </c>
      <c r="F14" s="108">
        <f>0.012*F5+0.014*F6+0.033*F7+0.006*F8+0.999*F11</f>
        <v>0.16677563002308818</v>
      </c>
      <c r="G14" s="108">
        <f>0.012*G5+0.014*G6+0.033*G7+0.006*G8+0.999*G11</f>
        <v>0.15627512911773736</v>
      </c>
    </row>
    <row r="15" spans="1:7" ht="16.5" x14ac:dyDescent="0.45">
      <c r="A15" s="109" t="s">
        <v>138</v>
      </c>
      <c r="B15" s="109" t="s">
        <v>92</v>
      </c>
      <c r="C15" s="111">
        <f>0.717*C5+0.847*C6+3.107*C7+0.42*C8+0.998*C11</f>
        <v>0.76742885454894616</v>
      </c>
      <c r="D15" s="111">
        <f>0.717*D5+0.847*D6+3.107*D7+0.42*D8+0.998*D11</f>
        <v>0.79822151155837828</v>
      </c>
      <c r="E15" s="111">
        <f>0.717*E5+0.847*E6+3.107*E7+0.42*E8+0.998*E11</f>
        <v>0.95461164055096193</v>
      </c>
      <c r="F15" s="111">
        <f>0.717*F5+0.847*F6+3.107*F7+0.42*F8+0.998*F11</f>
        <v>0.84931137336700435</v>
      </c>
      <c r="G15" s="111">
        <f>0.717*G5+0.847*G6+3.107*G7+0.42*G8+0.998*G11</f>
        <v>0.7864436787358231</v>
      </c>
    </row>
    <row r="16" spans="1:7" ht="16.5" x14ac:dyDescent="0.45">
      <c r="A16" s="109" t="s">
        <v>139</v>
      </c>
      <c r="B16" s="109" t="s">
        <v>93</v>
      </c>
      <c r="C16" s="111">
        <f>6.56*C5+3.26*C6+6.72*C7+1.05*C8</f>
        <v>2.3689758056208881</v>
      </c>
      <c r="D16" s="111">
        <f>6.56*D5+3.26*D6+6.72*D7+1.05*D8</f>
        <v>2.4882541956806703</v>
      </c>
      <c r="E16" s="111">
        <f>6.56*E5+3.26*E6+6.72*E7+1.05*E8</f>
        <v>2.9221009437245491</v>
      </c>
      <c r="F16" s="111">
        <f>6.56*F5+3.26*F6+6.72*F7+1.05*F8</f>
        <v>2.147256544620471</v>
      </c>
      <c r="G16" s="111">
        <f>6.56*G5+3.26*G6+6.72*G7+1.05*G8</f>
        <v>2.171038910467523</v>
      </c>
    </row>
    <row r="18" spans="2:5" ht="17.5" x14ac:dyDescent="0.35">
      <c r="B18" s="42" t="s">
        <v>104</v>
      </c>
      <c r="C18" s="112" t="s">
        <v>107</v>
      </c>
      <c r="D18" s="112" t="s">
        <v>141</v>
      </c>
      <c r="E18" s="112" t="s">
        <v>142</v>
      </c>
    </row>
    <row r="19" spans="2:5" x14ac:dyDescent="0.35">
      <c r="B19" s="105" t="s">
        <v>95</v>
      </c>
      <c r="C19" s="105" t="s">
        <v>94</v>
      </c>
      <c r="D19" s="105" t="s">
        <v>105</v>
      </c>
      <c r="E19" s="105" t="s">
        <v>101</v>
      </c>
    </row>
    <row r="20" spans="2:5" x14ac:dyDescent="0.35">
      <c r="B20" s="105" t="s">
        <v>96</v>
      </c>
      <c r="C20" s="105" t="s">
        <v>98</v>
      </c>
      <c r="D20" s="105" t="s">
        <v>106</v>
      </c>
      <c r="E20" s="105" t="s">
        <v>102</v>
      </c>
    </row>
    <row r="21" spans="2:5" x14ac:dyDescent="0.35">
      <c r="B21" s="105" t="s">
        <v>97</v>
      </c>
      <c r="C21" s="105" t="s">
        <v>99</v>
      </c>
      <c r="D21" s="105" t="s">
        <v>100</v>
      </c>
      <c r="E21" s="105" t="s">
        <v>103</v>
      </c>
    </row>
  </sheetData>
  <sheetProtection sheet="1" objects="1" scenarios="1"/>
  <mergeCells count="1">
    <mergeCell ref="A1:E1"/>
  </mergeCells>
  <pageMargins left="0.7" right="0.7" top="0.75" bottom="0.75" header="0.3" footer="0.3"/>
  <pageSetup orientation="portrait" r:id="rId1"/>
  <ignoredErrors>
    <ignoredError sqref="C10:G1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vt:lpstr>
      <vt:lpstr>BS</vt:lpstr>
      <vt:lpstr>P&amp;L</vt:lpstr>
      <vt:lpstr>Cash Flow</vt:lpstr>
      <vt:lpstr>Ratios</vt:lpstr>
      <vt:lpstr>Beneish M Score</vt:lpstr>
      <vt:lpstr>ZETA MODEL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2016-07-28T10:39:06Z</cp:lastPrinted>
  <dcterms:created xsi:type="dcterms:W3CDTF">2015-11-02T15:05:24Z</dcterms:created>
  <dcterms:modified xsi:type="dcterms:W3CDTF">2017-05-18T16:06:16Z</dcterms:modified>
</cp:coreProperties>
</file>